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drawings/drawing52.xml" ContentType="application/vnd.openxmlformats-officedocument.drawingml.chartshapes+xml"/>
  <Override PartName="/xl/workbook.xml" ContentType="application/vnd.openxmlformats-officedocument.spreadsheetml.sheet.main+xml"/>
  <Override PartName="/xl/worksheets/sheet5.xml" ContentType="application/vnd.openxmlformats-officedocument.spreadsheetml.worksheet+xml"/>
  <Override PartName="/xl/worksheets/sheet2.xml" ContentType="application/vnd.openxmlformats-officedocument.spreadsheetml.worksheet+xml"/>
  <Override PartName="/xl/drawings/drawing83.xml" ContentType="application/vnd.openxmlformats-officedocument.drawing+xml"/>
  <Override PartName="/xl/drawings/drawing82.xml" ContentType="application/vnd.openxmlformats-officedocument.drawing+xml"/>
  <Override PartName="/xl/drawings/drawing81.xml" ContentType="application/vnd.openxmlformats-officedocument.drawing+xml"/>
  <Override PartName="/xl/drawings/drawing80.xml" ContentType="application/vnd.openxmlformats-officedocument.drawing+xml"/>
  <Override PartName="/xl/drawings/drawing79.xml" ContentType="application/vnd.openxmlformats-officedocument.drawing+xml"/>
  <Override PartName="/xl/drawings/drawing78.xml" ContentType="application/vnd.openxmlformats-officedocument.drawing+xml"/>
  <Override PartName="/xl/drawings/drawing77.xml" ContentType="application/vnd.openxmlformats-officedocument.drawing+xml"/>
  <Override PartName="/xl/drawings/drawing76.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92.xml" ContentType="application/vnd.openxmlformats-officedocument.drawing+xml"/>
  <Override PartName="/xl/drawings/drawing91.xml" ContentType="application/vnd.openxmlformats-officedocument.drawing+xml"/>
  <Override PartName="/xl/drawings/drawing90.xml" ContentType="application/vnd.openxmlformats-officedocument.drawing+xml"/>
  <Override PartName="/xl/drawings/drawing89.xml" ContentType="application/vnd.openxmlformats-officedocument.drawing+xml"/>
  <Override PartName="/xl/drawings/drawing88.xml" ContentType="application/vnd.openxmlformats-officedocument.drawing+xml"/>
  <Override PartName="/xl/charts/chart13.xml" ContentType="application/vnd.openxmlformats-officedocument.drawingml.chart+xml"/>
  <Override PartName="/xl/drawings/drawing87.xml" ContentType="application/vnd.openxmlformats-officedocument.drawing+xml"/>
  <Override PartName="/xl/drawings/drawing75.xml" ContentType="application/vnd.openxmlformats-officedocument.drawing+xml"/>
  <Override PartName="/xl/drawings/drawing74.xml" ContentType="application/vnd.openxmlformats-officedocument.drawing+xml"/>
  <Override PartName="/xl/drawings/drawing73.xml" ContentType="application/vnd.openxmlformats-officedocument.drawing+xml"/>
  <Override PartName="/xl/drawings/drawing62.xml" ContentType="application/vnd.openxmlformats-officedocument.drawing+xml"/>
  <Override PartName="/xl/drawings/drawing61.xml" ContentType="application/vnd.openxmlformats-officedocument.drawing+xml"/>
  <Override PartName="/xl/charts/chart12.xml" ContentType="application/vnd.openxmlformats-officedocument.drawingml.chart+xml"/>
  <Override PartName="/xl/drawings/drawing60.xml" ContentType="application/vnd.openxmlformats-officedocument.drawing+xml"/>
  <Override PartName="/xl/charts/chart11.xml" ContentType="application/vnd.openxmlformats-officedocument.drawingml.chart+xml"/>
  <Override PartName="/xl/drawings/drawing59.xml" ContentType="application/vnd.openxmlformats-officedocument.drawing+xml"/>
  <Override PartName="/xl/drawings/drawing58.xml" ContentType="application/vnd.openxmlformats-officedocument.drawing+xml"/>
  <Override PartName="/xl/charts/chart10.xml" ContentType="application/vnd.openxmlformats-officedocument.drawingml.chart+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72.xml" ContentType="application/vnd.openxmlformats-officedocument.drawing+xml"/>
  <Override PartName="/xl/drawings/drawing71.xml" ContentType="application/vnd.openxmlformats-officedocument.drawing+xml"/>
  <Override PartName="/xl/drawings/drawing70.xml" ContentType="application/vnd.openxmlformats-officedocument.drawing+xml"/>
  <Override PartName="/xl/drawings/drawing69.xml" ContentType="application/vnd.openxmlformats-officedocument.drawing+xml"/>
  <Override PartName="/xl/drawings/drawing68.xml" ContentType="application/vnd.openxmlformats-officedocument.drawing+xml"/>
  <Override PartName="/xl/drawings/drawing67.xml" ContentType="application/vnd.openxmlformats-officedocument.drawing+xml"/>
  <Override PartName="/xl/drawings/drawing66.xml" ContentType="application/vnd.openxmlformats-officedocument.drawing+xml"/>
  <Override PartName="/xl/charts/chart14.xml" ContentType="application/vnd.openxmlformats-officedocument.drawingml.chart+xml"/>
  <Override PartName="/xl/drawings/drawing93.xml" ContentType="application/vnd.openxmlformats-officedocument.drawing+xml"/>
  <Override PartName="/xl/drawings/drawing94.xml" ContentType="application/vnd.openxmlformats-officedocument.drawing+xml"/>
  <Override PartName="/xl/drawings/drawing115.xml" ContentType="application/vnd.openxmlformats-officedocument.drawing+xml"/>
  <Override PartName="/xl/drawings/drawing114.xml" ContentType="application/vnd.openxmlformats-officedocument.drawing+xml"/>
  <Override PartName="/xl/drawings/drawing113.xml" ContentType="application/vnd.openxmlformats-officedocument.drawing+xml"/>
  <Override PartName="/xl/drawings/drawing112.xml" ContentType="application/vnd.openxmlformats-officedocument.drawing+xml"/>
  <Override PartName="/xl/charts/chart21.xml" ContentType="application/vnd.openxmlformats-officedocument.drawingml.chart+xml"/>
  <Override PartName="/xl/drawings/drawing111.xml" ContentType="application/vnd.openxmlformats-officedocument.drawing+xml"/>
  <Override PartName="/xl/drawings/drawing110.xml" ContentType="application/vnd.openxmlformats-officedocument.drawing+xml"/>
  <Override PartName="/xl/charts/chart20.xml" ContentType="application/vnd.openxmlformats-officedocument.drawingml.chart+xml"/>
  <Override PartName="/xl/drawings/drawing116.xml" ContentType="application/vnd.openxmlformats-officedocument.drawing+xml"/>
  <Override PartName="/xl/charts/chart22.xml" ContentType="application/vnd.openxmlformats-officedocument.drawingml.chart+xml"/>
  <Override PartName="/xl/drawings/drawing117.xml" ContentType="application/vnd.openxmlformats-officedocument.drawing+xml"/>
  <Override PartName="/xl/worksheets/sheet3.xml" ContentType="application/vnd.openxmlformats-officedocument.spreadsheetml.worksheet+xml"/>
  <Override PartName="/xl/drawings/drawing122.xml" ContentType="application/vnd.openxmlformats-officedocument.drawing+xml"/>
  <Override PartName="/xl/drawings/drawing121.xml" ContentType="application/vnd.openxmlformats-officedocument.drawing+xml"/>
  <Override PartName="/xl/drawings/drawing120.xml" ContentType="application/vnd.openxmlformats-officedocument.drawing+xml"/>
  <Override PartName="/xl/drawings/drawing119.xml" ContentType="application/vnd.openxmlformats-officedocument.drawing+xml"/>
  <Override PartName="/xl/drawings/drawing118.xml" ContentType="application/vnd.openxmlformats-officedocument.drawing+xml"/>
  <Override PartName="/xl/drawings/drawing109.xml" ContentType="application/vnd.openxmlformats-officedocument.drawing+xml"/>
  <Override PartName="/xl/drawings/drawing108.xml" ContentType="application/vnd.openxmlformats-officedocument.drawing+xml"/>
  <Override PartName="/xl/charts/chart19.xml" ContentType="application/vnd.openxmlformats-officedocument.drawingml.chart+xml"/>
  <Override PartName="/xl/drawings/drawing100.xml" ContentType="application/vnd.openxmlformats-officedocument.drawing+xml"/>
  <Override PartName="/xl/charts/chart15.xml" ContentType="application/vnd.openxmlformats-officedocument.drawingml.chart+xml"/>
  <Override PartName="/xl/drawings/drawing99.xml" ContentType="application/vnd.openxmlformats-officedocument.drawing+xml"/>
  <Override PartName="/xl/drawings/drawing98.xml" ContentType="application/vnd.openxmlformats-officedocument.drawing+xml"/>
  <Override PartName="/xl/drawings/drawing97.xml" ContentType="application/vnd.openxmlformats-officedocument.drawing+xml"/>
  <Override PartName="/xl/drawings/drawing96.xml" ContentType="application/vnd.openxmlformats-officedocument.drawing+xml"/>
  <Override PartName="/xl/drawings/drawing95.xml" ContentType="application/vnd.openxmlformats-officedocument.drawing+xml"/>
  <Override PartName="/xl/drawings/drawing101.xml" ContentType="application/vnd.openxmlformats-officedocument.drawing+xml"/>
  <Override PartName="/xl/charts/chart16.xml" ContentType="application/vnd.openxmlformats-officedocument.drawingml.chart+xml"/>
  <Override PartName="/xl/drawings/drawing102.xml" ContentType="application/vnd.openxmlformats-officedocument.drawing+xml"/>
  <Override PartName="/xl/drawings/drawing107.xml" ContentType="application/vnd.openxmlformats-officedocument.drawing+xml"/>
  <Override PartName="/xl/drawings/drawing106.xml" ContentType="application/vnd.openxmlformats-officedocument.drawing+xml"/>
  <Override PartName="/xl/charts/chart18.xml" ContentType="application/vnd.openxmlformats-officedocument.drawingml.chart+xml"/>
  <Override PartName="/xl/drawings/drawing105.xml" ContentType="application/vnd.openxmlformats-officedocument.drawing+xml"/>
  <Override PartName="/xl/drawings/drawing104.xml" ContentType="application/vnd.openxmlformats-officedocument.drawing+xml"/>
  <Override PartName="/xl/charts/chart17.xml" ContentType="application/vnd.openxmlformats-officedocument.drawingml.chart+xml"/>
  <Override PartName="/xl/drawings/drawing103.xml" ContentType="application/vnd.openxmlformats-officedocument.drawing+xml"/>
  <Override PartName="/xl/drawings/drawing57.xml" ContentType="application/vnd.openxmlformats-officedocument.drawing+xml"/>
  <Override PartName="/xl/worksheets/sheet1.xml" ContentType="application/vnd.openxmlformats-officedocument.spreadsheetml.worksheet+xml"/>
  <Override PartName="/xl/worksheets/sheet124.xml" ContentType="application/vnd.openxmlformats-officedocument.spreadsheetml.worksheet+xml"/>
  <Override PartName="/xl/drawings/drawing30.xml" ContentType="application/vnd.openxmlformats-officedocument.drawing+xml"/>
  <Override PartName="/xl/drawings/drawing43.xml" ContentType="application/vnd.openxmlformats-officedocument.drawing+xml"/>
  <Override PartName="/xl/worksheets/sheet82.xml" ContentType="application/vnd.openxmlformats-officedocument.spreadsheetml.worksheet+xml"/>
  <Override PartName="/xl/worksheets/sheet83.xml" ContentType="application/vnd.openxmlformats-officedocument.spreadsheetml.worksheet+xml"/>
  <Override PartName="/xl/worksheets/sheet81.xml" ContentType="application/vnd.openxmlformats-officedocument.spreadsheetml.worksheet+xml"/>
  <Override PartName="/xl/worksheets/sheet80.xml" ContentType="application/vnd.openxmlformats-officedocument.spreadsheetml.worksheet+xml"/>
  <Override PartName="/xl/worksheets/sheet79.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drawings/drawing3.xml" ContentType="application/vnd.openxmlformats-officedocument.drawing+xml"/>
  <Override PartName="/xl/worksheets/sheet84.xml" ContentType="application/vnd.openxmlformats-officedocument.spreadsheetml.worksheet+xml"/>
  <Override PartName="/xl/worksheets/sheet85.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drawings/drawing31.xml" ContentType="application/vnd.openxmlformats-officedocument.drawing+xml"/>
  <Override PartName="/xl/drawings/drawing42.xml" ContentType="application/vnd.openxmlformats-officedocument.drawing+xml"/>
  <Override PartName="/xl/worksheets/sheet87.xml" ContentType="application/vnd.openxmlformats-officedocument.spreadsheetml.worksheet+xml"/>
  <Override PartName="/xl/drawings/drawing16.xml" ContentType="application/vnd.openxmlformats-officedocument.drawing+xml"/>
  <Override PartName="/xl/worksheets/sheet86.xml" ContentType="application/vnd.openxmlformats-officedocument.spreadsheetml.worksheet+xml"/>
  <Override PartName="/xl/charts/chart7.xml" ContentType="application/vnd.openxmlformats-officedocument.drawingml.chart+xml"/>
  <Override PartName="/xl/drawings/drawing44.xml" ContentType="application/vnd.openxmlformats-officedocument.drawing+xml"/>
  <Override PartName="/xl/worksheets/sheet74.xml" ContentType="application/vnd.openxmlformats-officedocument.spreadsheetml.worksheet+xml"/>
  <Override PartName="/xl/worksheets/sheet63.xml" ContentType="application/vnd.openxmlformats-officedocument.spreadsheetml.worksheet+xml"/>
  <Override PartName="/xl/drawings/drawing5.xml" ContentType="application/vnd.openxmlformats-officedocument.drawing+xml"/>
  <Override PartName="/xl/worksheets/sheet64.xml" ContentType="application/vnd.openxmlformats-officedocument.spreadsheetml.worksheet+xml"/>
  <Override PartName="/xl/drawings/drawing28.xml" ContentType="application/vnd.openxmlformats-officedocument.drawing+xml"/>
  <Override PartName="/xl/worksheets/sheet123.xml" ContentType="application/vnd.openxmlformats-officedocument.spreadsheetml.worksheet+xml"/>
  <Override PartName="/xl/worksheets/sheet61.xml" ContentType="application/vnd.openxmlformats-officedocument.spreadsheetml.worksheet+xml"/>
  <Override PartName="/xl/drawings/drawing27.xml" ContentType="application/vnd.openxmlformats-officedocument.drawing+xml"/>
  <Override PartName="/xl/drawings/drawing6.xml" ContentType="application/vnd.openxmlformats-officedocument.drawing+xml"/>
  <Override PartName="/xl/worksheets/sheet59.xml" ContentType="application/vnd.openxmlformats-officedocument.spreadsheetml.worksheet+xml"/>
  <Override PartName="/xl/drawings/drawing46.xml" ContentType="application/vnd.openxmlformats-officedocument.drawing+xml"/>
  <Override PartName="/xl/worksheets/sheet60.xml" ContentType="application/vnd.openxmlformats-officedocument.spreadsheetml.worksheet+xml"/>
  <Override PartName="/xl/drawings/drawing45.xml" ContentType="application/vnd.openxmlformats-officedocument.drawing+xml"/>
  <Override PartName="/xl/worksheets/sheet65.xml" ContentType="application/vnd.openxmlformats-officedocument.spreadsheetml.worksheet+xml"/>
  <Override PartName="/xl/worksheets/sheet66.xml" ContentType="application/vnd.openxmlformats-officedocument.spreadsheetml.worksheet+xml"/>
  <Override PartName="/xl/worksheets/sheet71.xml" ContentType="application/vnd.openxmlformats-officedocument.spreadsheetml.worksheet+xml"/>
  <Override PartName="/xl/drawings/drawing29.xml" ContentType="application/vnd.openxmlformats-officedocument.drawing+xml"/>
  <Override PartName="/xl/worksheets/sheet72.xml" ContentType="application/vnd.openxmlformats-officedocument.spreadsheetml.worksheet+xml"/>
  <Override PartName="/xl/worksheets/sheet73.xml" ContentType="application/vnd.openxmlformats-officedocument.spreadsheetml.worksheet+xml"/>
  <Override PartName="/xl/worksheets/sheet70.xml" ContentType="application/vnd.openxmlformats-officedocument.spreadsheetml.worksheet+xml"/>
  <Override PartName="/xl/drawings/drawing4.xml" ContentType="application/vnd.openxmlformats-officedocument.drawing+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worksheets/sheet91.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27.xml" ContentType="application/vnd.openxmlformats-officedocument.spreadsheetml.worksheet+xml"/>
  <Override PartName="/xl/worksheets/sheet112.xml" ContentType="application/vnd.openxmlformats-officedocument.spreadsheetml.worksheet+xml"/>
  <Override PartName="/xl/worksheets/sheet126.xml" ContentType="application/vnd.openxmlformats-officedocument.spreadsheetml.worksheet+xml"/>
  <Override PartName="/xl/worksheets/sheet110.xml" ContentType="application/vnd.openxmlformats-officedocument.spreadsheetml.worksheet+xml"/>
  <Override PartName="/xl/worksheets/sheet128.xml" ContentType="application/vnd.openxmlformats-officedocument.spreadsheetml.worksheet+xml"/>
  <Override PartName="/xl/worksheets/sheet109.xml" ContentType="application/vnd.openxmlformats-officedocument.spreadsheetml.worksheet+xml"/>
  <Override PartName="/xl/worksheets/sheet107.xml" ContentType="application/vnd.openxmlformats-officedocument.spreadsheetml.worksheet+xml"/>
  <Override PartName="/xl/drawings/drawing37.xml" ContentType="application/vnd.openxmlformats-officedocument.drawing+xml"/>
  <Override PartName="/xl/worksheets/sheet108.xml" ContentType="application/vnd.openxmlformats-officedocument.spreadsheetml.worksheet+xml"/>
  <Override PartName="/xl/theme/theme1.xml" ContentType="application/vnd.openxmlformats-officedocument.theme+xml"/>
  <Override PartName="/xl/worksheets/sheet113.xml" ContentType="application/vnd.openxmlformats-officedocument.spreadsheetml.worksheet+xml"/>
  <Override PartName="/xl/drawings/drawing36.xml" ContentType="application/vnd.openxmlformats-officedocument.drawing+xml"/>
  <Override PartName="/xl/worksheets/sheet114.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drawings/drawing35.xml" ContentType="application/vnd.openxmlformats-officedocument.drawing+xml"/>
  <Override PartName="/xl/worksheets/sheet122.xml" ContentType="application/vnd.openxmlformats-officedocument.spreadsheetml.worksheet+xml"/>
  <Override PartName="/xl/worksheets/sheet119.xml" ContentType="application/vnd.openxmlformats-officedocument.spreadsheetml.worksheet+xml"/>
  <Override PartName="/xl/worksheets/sheet118.xml" ContentType="application/vnd.openxmlformats-officedocument.spreadsheetml.worksheet+xml"/>
  <Override PartName="/xl/worksheets/sheet117.xml" ContentType="application/vnd.openxmlformats-officedocument.spreadsheetml.worksheet+xml"/>
  <Override PartName="/xl/worksheets/sheet116.xml" ContentType="application/vnd.openxmlformats-officedocument.spreadsheetml.worksheet+xml"/>
  <Override PartName="/xl/worksheets/sheet115.xml" ContentType="application/vnd.openxmlformats-officedocument.spreadsheetml.worksheet+xml"/>
  <Override PartName="/xl/worksheets/sheet125.xml" ContentType="application/vnd.openxmlformats-officedocument.spreadsheetml.worksheet+xml"/>
  <Override PartName="/xl/styles.xml" ContentType="application/vnd.openxmlformats-officedocument.spreadsheetml.styles+xml"/>
  <Override PartName="/xl/worksheets/sheet106.xml" ContentType="application/vnd.openxmlformats-officedocument.spreadsheetml.worksheet+xml"/>
  <Override PartName="/xl/sharedStrings.xml" ContentType="application/vnd.openxmlformats-officedocument.spreadsheetml.sharedStrings+xml"/>
  <Override PartName="/xl/drawings/drawing40.xml" ContentType="application/vnd.openxmlformats-officedocument.drawing+xml"/>
  <Override PartName="/xl/drawings/drawing33.xml" ContentType="application/vnd.openxmlformats-officedocument.drawing+xml"/>
  <Override PartName="/xl/worksheets/sheet97.xml" ContentType="application/vnd.openxmlformats-officedocument.spreadsheetml.worksheet+xml"/>
  <Override PartName="/xl/worksheets/sheet96.xml" ContentType="application/vnd.openxmlformats-officedocument.spreadsheetml.worksheet+xml"/>
  <Override PartName="/xl/worksheets/sheet95.xml" ContentType="application/vnd.openxmlformats-officedocument.spreadsheetml.worksheet+xml"/>
  <Override PartName="/xl/worksheets/sheet94.xml" ContentType="application/vnd.openxmlformats-officedocument.spreadsheetml.worksheet+xml"/>
  <Override PartName="/xl/worksheets/sheet93.xml" ContentType="application/vnd.openxmlformats-officedocument.spreadsheetml.worksheet+xml"/>
  <Override PartName="/xl/drawings/drawing41.xml" ContentType="application/vnd.openxmlformats-officedocument.drawing+xml"/>
  <Override PartName="/xl/drawings/drawing32.xml" ContentType="application/vnd.openxmlformats-officedocument.drawing+xml"/>
  <Override PartName="/xl/worksheets/sheet98.xml" ContentType="application/vnd.openxmlformats-officedocument.spreadsheetml.worksheet+xml"/>
  <Override PartName="/xl/drawings/drawing1.xml" ContentType="application/vnd.openxmlformats-officedocument.drawing+xml"/>
  <Override PartName="/xl/worksheets/sheet99.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drawings/drawing34.xml" ContentType="application/vnd.openxmlformats-officedocument.drawing+xml"/>
  <Override PartName="/xl/worksheets/sheet105.xml" ContentType="application/vnd.openxmlformats-officedocument.spreadsheetml.worksheet+xml"/>
  <Override PartName="/xl/drawings/drawing38.xml" ContentType="application/vnd.openxmlformats-officedocument.drawing+xml"/>
  <Override PartName="/xl/charts/chart6.xml" ContentType="application/vnd.openxmlformats-officedocument.drawingml.chart+xml"/>
  <Override PartName="/xl/worksheets/sheet102.xml" ContentType="application/vnd.openxmlformats-officedocument.spreadsheetml.worksheet+xml"/>
  <Override PartName="/xl/worksheets/sheet101.xml" ContentType="application/vnd.openxmlformats-officedocument.spreadsheetml.worksheet+xml"/>
  <Override PartName="/xl/drawings/drawing39.xml" ContentType="application/vnd.openxmlformats-officedocument.drawing+xml"/>
  <Override PartName="/xl/worksheets/sheet100.xml" ContentType="application/vnd.openxmlformats-officedocument.spreadsheetml.worksheet+xml"/>
  <Override PartName="/xl/worksheets/sheet58.xml" ContentType="application/vnd.openxmlformats-officedocument.spreadsheetml.worksheet+xml"/>
  <Override PartName="/xl/worksheets/sheet62.xml" ContentType="application/vnd.openxmlformats-officedocument.spreadsheetml.worksheet+xml"/>
  <Override PartName="/xl/worksheets/sheet57.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4.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drawings/drawing53.xml" ContentType="application/vnd.openxmlformats-officedocument.drawing+xml"/>
  <Override PartName="/xl/drawings/drawing19.xml" ContentType="application/vnd.openxmlformats-officedocument.drawing+xml"/>
  <Override PartName="/xl/worksheets/sheet23.xml" ContentType="application/vnd.openxmlformats-officedocument.spreadsheetml.worksheet+xml"/>
  <Override PartName="/xl/worksheets/sheet22.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charts/chart9.xml" ContentType="application/vnd.openxmlformats-officedocument.drawingml.chart+xml"/>
  <Override PartName="/xl/drawings/drawing21.xml" ContentType="application/vnd.openxmlformats-officedocument.drawing+xml"/>
  <Override PartName="/xl/worksheets/sheet35.xml" ContentType="application/vnd.openxmlformats-officedocument.spreadsheetml.worksheet+xml"/>
  <Override PartName="/xl/drawings/drawing50.xml" ContentType="application/vnd.openxmlformats-officedocument.drawing+xml"/>
  <Override PartName="/xl/worksheets/sheet36.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drawings/drawing51.xml" ContentType="application/vnd.openxmlformats-officedocument.drawing+xml"/>
  <Override PartName="/xl/drawings/drawing13.xml" ContentType="application/vnd.openxmlformats-officedocument.drawing+xml"/>
  <Override PartName="/xl/worksheets/sheet31.xml" ContentType="application/vnd.openxmlformats-officedocument.spreadsheetml.worksheet+xml"/>
  <Override PartName="/xl/drawings/drawing20.xml" ContentType="application/vnd.openxmlformats-officedocument.drawing+xml"/>
  <Override PartName="/xl/drawings/drawing14.xml" ContentType="application/vnd.openxmlformats-officedocument.drawing+xml"/>
  <Override PartName="/xl/worksheets/sheet21.xml" ContentType="application/vnd.openxmlformats-officedocument.spreadsheetml.worksheet+xml"/>
  <Override PartName="/xl/worksheets/sheet20.xml" ContentType="application/vnd.openxmlformats-officedocument.spreadsheetml.worksheet+xml"/>
  <Override PartName="/xl/drawings/drawing55.xml" ContentType="application/vnd.openxmlformats-officedocument.drawing+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drawings/drawing56.xml" ContentType="application/vnd.openxmlformats-officedocument.drawing+xml"/>
  <Override PartName="/xl/worksheets/sheet6.xml" ContentType="application/vnd.openxmlformats-officedocument.spreadsheetml.worksheet+xml"/>
  <Override PartName="/xl/drawings/drawing17.xml" ContentType="application/vnd.openxmlformats-officedocument.drawing+xml"/>
  <Override PartName="/xl/worksheets/sheet13.xml" ContentType="application/vnd.openxmlformats-officedocument.spreadsheetml.worksheet+xml"/>
  <Override PartName="/xl/charts/chart5.xml" ContentType="application/vnd.openxmlformats-officedocument.drawingml.char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16.xml" ContentType="application/vnd.openxmlformats-officedocument.spreadsheetml.worksheet+xml"/>
  <Override PartName="/xl/drawings/drawing18.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drawings/drawing54.xml" ContentType="application/vnd.openxmlformats-officedocument.drawing+xml"/>
  <Override PartName="/xl/worksheets/sheet14.xml" ContentType="application/vnd.openxmlformats-officedocument.spreadsheetml.worksheet+xml"/>
  <Override PartName="/xl/worksheets/sheet37.xml" ContentType="application/vnd.openxmlformats-officedocument.spreadsheetml.worksheet+xml"/>
  <Override PartName="/xl/worksheets/sheet32.xml" ContentType="application/vnd.openxmlformats-officedocument.spreadsheetml.worksheet+xml"/>
  <Override PartName="/xl/worksheets/sheet46.xml" ContentType="application/vnd.openxmlformats-officedocument.spreadsheetml.worksheet+xml"/>
  <Override PartName="/xl/worksheets/sheet44.xml" ContentType="application/vnd.openxmlformats-officedocument.spreadsheetml.worksheet+xml"/>
  <Override PartName="/xl/charts/chart3.xml" ContentType="application/vnd.openxmlformats-officedocument.drawingml.chart+xml"/>
  <Override PartName="/xl/worksheets/sheet50.xml" ContentType="application/vnd.openxmlformats-officedocument.spreadsheetml.worksheet+xml"/>
  <Override PartName="/xl/charts/chart8.xml" ContentType="application/vnd.openxmlformats-officedocument.drawingml.chart+xml"/>
  <Override PartName="/xl/worksheets/sheet43.xml" ContentType="application/vnd.openxmlformats-officedocument.spreadsheetml.worksheet+xml"/>
  <Override PartName="/xl/drawings/drawing11.xml" ContentType="application/vnd.openxmlformats-officedocument.drawing+xml"/>
  <Override PartName="/xl/worksheets/sheet54.xml" ContentType="application/vnd.openxmlformats-officedocument.spreadsheetml.worksheet+xml"/>
  <Override PartName="/xl/worksheets/sheet47.xml" ContentType="application/vnd.openxmlformats-officedocument.spreadsheetml.worksheet+xml"/>
  <Override PartName="/xl/worksheets/sheet53.xml" ContentType="application/vnd.openxmlformats-officedocument.spreadsheetml.worksheet+xml"/>
  <Override PartName="/xl/drawings/drawing23.xml" ContentType="application/vnd.openxmlformats-officedocument.drawing+xml"/>
  <Override PartName="/xl/drawings/drawing12.xml" ContentType="application/vnd.openxmlformats-officedocument.drawing+xml"/>
  <Override PartName="/xl/worksheets/sheet52.xml" ContentType="application/vnd.openxmlformats-officedocument.spreadsheetml.worksheet+xml"/>
  <Override PartName="/xl/drawings/drawing10.xml" ContentType="application/vnd.openxmlformats-officedocument.drawing+xml"/>
  <Override PartName="/xl/worksheets/sheet45.xml" ContentType="application/vnd.openxmlformats-officedocument.spreadsheetml.worksheet+xml"/>
  <Override PartName="/xl/drawings/drawing47.xml" ContentType="application/vnd.openxmlformats-officedocument.drawing+xml"/>
  <Override PartName="/xl/drawings/drawing48.xml" ContentType="application/vnd.openxmlformats-officedocument.drawing+xml"/>
  <Override PartName="/xl/drawings/drawing25.xml" ContentType="application/vnd.openxmlformats-officedocument.drawing+xml"/>
  <Override PartName="/xl/drawings/drawing8.xml" ContentType="application/vnd.openxmlformats-officedocument.drawing+xml"/>
  <Override PartName="/xl/worksheets/sheet48.xml" ContentType="application/vnd.openxmlformats-officedocument.spreadsheetml.worksheet+xml"/>
  <Override PartName="/xl/worksheets/sheet42.xml" ContentType="application/vnd.openxmlformats-officedocument.spreadsheetml.worksheet+xml"/>
  <Override PartName="/xl/drawings/drawing22.xml" ContentType="application/vnd.openxmlformats-officedocument.drawing+xml"/>
  <Override PartName="/xl/drawings/drawing49.xml" ContentType="application/vnd.openxmlformats-officedocument.drawing+xml"/>
  <Override PartName="/xl/worksheets/sheet39.xml" ContentType="application/vnd.openxmlformats-officedocument.spreadsheetml.worksheet+xml"/>
  <Override PartName="/xl/drawings/drawing26.xml" ContentType="application/vnd.openxmlformats-officedocument.drawing+xml"/>
  <Override PartName="/xl/drawings/drawing9.xml" ContentType="application/vnd.openxmlformats-officedocument.drawing+xml"/>
  <Override PartName="/xl/worksheets/sheet38.xml" ContentType="application/vnd.openxmlformats-officedocument.spreadsheetml.worksheet+xml"/>
  <Override PartName="/xl/drawings/drawing24.xml" ContentType="application/vnd.openxmlformats-officedocument.drawing+xml"/>
  <Override PartName="/xl/worksheets/sheet56.xml" ContentType="application/vnd.openxmlformats-officedocument.spreadsheetml.worksheet+xml"/>
  <Override PartName="/xl/worksheets/sheet51.xml" ContentType="application/vnd.openxmlformats-officedocument.spreadsheetml.worksheet+xml"/>
  <Override PartName="/xl/charts/chart2.xml" ContentType="application/vnd.openxmlformats-officedocument.drawingml.chart+xml"/>
  <Override PartName="/xl/charts/chart4.xml" ContentType="application/vnd.openxmlformats-officedocument.drawingml.chart+xml"/>
  <Override PartName="/xl/worksheets/sheet49.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55.xml" ContentType="application/vnd.openxmlformats-officedocument.spreadsheetml.worksheet+xml"/>
  <Override PartName="/xl/drawings/drawing7.xml" ContentType="application/vnd.openxmlformats-officedocument.drawing+xml"/>
  <Override PartName="/xl/tables/table3.xml" ContentType="application/vnd.openxmlformats-officedocument.spreadsheetml.table+xml"/>
  <Override PartName="/xl/tables/table5.xml" ContentType="application/vnd.openxmlformats-officedocument.spreadsheetml.table+xml"/>
  <Override PartName="/xl/queryTables/queryTable5.xml" ContentType="application/vnd.openxmlformats-officedocument.spreadsheetml.queryTable+xml"/>
  <Override PartName="/xl/queryTables/queryTable2.xml" ContentType="application/vnd.openxmlformats-officedocument.spreadsheetml.queryTable+xml"/>
  <Override PartName="/xl/tables/table2.xml" ContentType="application/vnd.openxmlformats-officedocument.spreadsheetml.table+xml"/>
  <Override PartName="/xl/tables/table1.xml" ContentType="application/vnd.openxmlformats-officedocument.spreadsheetml.table+xml"/>
  <Override PartName="/xl/queryTables/queryTable3.xml" ContentType="application/vnd.openxmlformats-officedocument.spreadsheetml.queryTable+xml"/>
  <Override PartName="/xl/queryTables/queryTable1.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connections.xml" ContentType="application/vnd.openxmlformats-officedocument.spreadsheetml.connections+xml"/>
  <Override PartName="/xl/queryTables/queryTable37.xml" ContentType="application/vnd.openxmlformats-officedocument.spreadsheetml.queryTable+xml"/>
  <Override PartName="/xl/queryTables/queryTable6.xml" ContentType="application/vnd.openxmlformats-officedocument.spreadsheetml.queryTable+xml"/>
  <Override PartName="/xl/queryTables/queryTable61.xml" ContentType="application/vnd.openxmlformats-officedocument.spreadsheetml.queryTable+xml"/>
  <Override PartName="/xl/tables/table61.xml" ContentType="application/vnd.openxmlformats-officedocument.spreadsheetml.table+xml"/>
  <Override PartName="/xl/queryTables/queryTable33.xml" ContentType="application/vnd.openxmlformats-officedocument.spreadsheetml.queryTable+xml"/>
  <Override PartName="/xl/queryTables/queryTable60.xml" ContentType="application/vnd.openxmlformats-officedocument.spreadsheetml.queryTable+xml"/>
  <Override PartName="/xl/tables/table60.xml" ContentType="application/vnd.openxmlformats-officedocument.spreadsheetml.table+xml"/>
  <Override PartName="/xl/tables/table33.xml" ContentType="application/vnd.openxmlformats-officedocument.spreadsheetml.table+xml"/>
  <Override PartName="/xl/tables/table62.xml" ContentType="application/vnd.openxmlformats-officedocument.spreadsheetml.table+xml"/>
  <Override PartName="/xl/queryTables/queryTable63.xml" ContentType="application/vnd.openxmlformats-officedocument.spreadsheetml.queryTable+xml"/>
  <Override PartName="/xl/tables/table63.xml" ContentType="application/vnd.openxmlformats-officedocument.spreadsheetml.table+xml"/>
  <Override PartName="/xl/queryTables/queryTable62.xml" ContentType="application/vnd.openxmlformats-officedocument.spreadsheetml.queryTable+xml"/>
  <Override PartName="/xl/queryTables/queryTable59.xml" ContentType="application/vnd.openxmlformats-officedocument.spreadsheetml.queryTable+xml"/>
  <Override PartName="/xl/queryTables/queryTable34.xml" ContentType="application/vnd.openxmlformats-officedocument.spreadsheetml.queryTable+xml"/>
  <Override PartName="/xl/queryTables/queryTable56.xml" ContentType="application/vnd.openxmlformats-officedocument.spreadsheetml.queryTable+xml"/>
  <Override PartName="/xl/tables/table56.xml" ContentType="application/vnd.openxmlformats-officedocument.spreadsheetml.table+xml"/>
  <Override PartName="/xl/tables/table57.xml" ContentType="application/vnd.openxmlformats-officedocument.spreadsheetml.table+xml"/>
  <Override PartName="/xl/queryTables/queryTable57.xml" ContentType="application/vnd.openxmlformats-officedocument.spreadsheetml.queryTable+xml"/>
  <Override PartName="/xl/tables/table59.xml" ContentType="application/vnd.openxmlformats-officedocument.spreadsheetml.table+xml"/>
  <Override PartName="/xl/queryTables/queryTable58.xml" ContentType="application/vnd.openxmlformats-officedocument.spreadsheetml.queryTable+xml"/>
  <Override PartName="/xl/tables/table58.xml" ContentType="application/vnd.openxmlformats-officedocument.spreadsheetml.table+xml"/>
  <Override PartName="/xl/tables/table34.xml" ContentType="application/vnd.openxmlformats-officedocument.spreadsheetml.table+xml"/>
  <Override PartName="/xl/tables/table64.xml" ContentType="application/vnd.openxmlformats-officedocument.spreadsheetml.table+xml"/>
  <Override PartName="/xl/queryTables/queryTable64.xml" ContentType="application/vnd.openxmlformats-officedocument.spreadsheetml.queryTable+xml"/>
  <Override PartName="/xl/tables/table69.xml" ContentType="application/vnd.openxmlformats-officedocument.spreadsheetml.table+xml"/>
  <Override PartName="/xl/queryTables/queryTable30.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tables/table30.xml" ContentType="application/vnd.openxmlformats-officedocument.spreadsheetml.table+xml"/>
  <Override PartName="/xl/queryTables/queryTable71.xml" ContentType="application/vnd.openxmlformats-officedocument.spreadsheetml.queryTable+xml"/>
  <Override PartName="/xl/tables/table71.xml" ContentType="application/vnd.openxmlformats-officedocument.spreadsheetml.table+xml"/>
  <Override PartName="/xl/queryTables/queryTable70.xml" ContentType="application/vnd.openxmlformats-officedocument.spreadsheetml.queryTable+xml"/>
  <Override PartName="/xl/tables/table70.xml" ContentType="application/vnd.openxmlformats-officedocument.spreadsheetml.table+xml"/>
  <Override PartName="/xl/tables/table68.xml" ContentType="application/vnd.openxmlformats-officedocument.spreadsheetml.table+xml"/>
  <Override PartName="/xl/tables/table31.xml" ContentType="application/vnd.openxmlformats-officedocument.spreadsheetml.table+xml"/>
  <Override PartName="/xl/queryTables/queryTable65.xml" ContentType="application/vnd.openxmlformats-officedocument.spreadsheetml.queryTable+xml"/>
  <Override PartName="/xl/tables/table65.xml" ContentType="application/vnd.openxmlformats-officedocument.spreadsheetml.table+xml"/>
  <Override PartName="/xl/tables/table32.xml" ContentType="application/vnd.openxmlformats-officedocument.spreadsheetml.table+xml"/>
  <Override PartName="/xl/queryTables/queryTable32.xml" ContentType="application/vnd.openxmlformats-officedocument.spreadsheetml.queryTable+xml"/>
  <Override PartName="/xl/tables/table66.xml" ContentType="application/vnd.openxmlformats-officedocument.spreadsheetml.table+xml"/>
  <Override PartName="/xl/queryTables/queryTable67.xml" ContentType="application/vnd.openxmlformats-officedocument.spreadsheetml.queryTable+xml"/>
  <Override PartName="/xl/tables/table67.xml" ContentType="application/vnd.openxmlformats-officedocument.spreadsheetml.table+xml"/>
  <Override PartName="/xl/queryTables/queryTable31.xml" ContentType="application/vnd.openxmlformats-officedocument.spreadsheetml.queryTable+xml"/>
  <Override PartName="/xl/queryTables/queryTable66.xml" ContentType="application/vnd.openxmlformats-officedocument.spreadsheetml.queryTable+xml"/>
  <Override PartName="/xl/queryTables/queryTable55.xml" ContentType="application/vnd.openxmlformats-officedocument.spreadsheetml.queryTable+xml"/>
  <Override PartName="/xl/tables/table55.xml" ContentType="application/vnd.openxmlformats-officedocument.spreadsheetml.table+xml"/>
  <Override PartName="/xl/tables/table42.xml" ContentType="application/vnd.openxmlformats-officedocument.spreadsheetml.table+xml"/>
  <Override PartName="/xl/queryTables/queryTable35.xml" ContentType="application/vnd.openxmlformats-officedocument.spreadsheetml.queryTable+xml"/>
  <Override PartName="/xl/queryTables/queryTable41.xml" ContentType="application/vnd.openxmlformats-officedocument.spreadsheetml.queryTable+xml"/>
  <Override PartName="/xl/tables/table41.xml" ContentType="application/vnd.openxmlformats-officedocument.spreadsheetml.table+xml"/>
  <Override PartName="/xl/queryTables/queryTable42.xml" ContentType="application/vnd.openxmlformats-officedocument.spreadsheetml.queryTable+xml"/>
  <Override PartName="/xl/tables/table35.xml" ContentType="application/vnd.openxmlformats-officedocument.spreadsheetml.table+xml"/>
  <Override PartName="/xl/queryTables/queryTable44.xml" ContentType="application/vnd.openxmlformats-officedocument.spreadsheetml.queryTable+xml"/>
  <Override PartName="/xl/tables/table44.xml" ContentType="application/vnd.openxmlformats-officedocument.spreadsheetml.table+xml"/>
  <Override PartName="/xl/queryTables/queryTable43.xml" ContentType="application/vnd.openxmlformats-officedocument.spreadsheetml.queryTable+xml"/>
  <Override PartName="/xl/tables/table43.xml" ContentType="application/vnd.openxmlformats-officedocument.spreadsheetml.table+xml"/>
  <Override PartName="/xl/queryTables/queryTable40.xml" ContentType="application/vnd.openxmlformats-officedocument.spreadsheetml.queryTable+xml"/>
  <Override PartName="/xl/tables/table40.xml" ContentType="application/vnd.openxmlformats-officedocument.spreadsheetml.table+xml"/>
  <Override PartName="/xl/queryTables/queryTable38.xml" ContentType="application/vnd.openxmlformats-officedocument.spreadsheetml.queryTable+xml"/>
  <Override PartName="/xl/tables/table38.xml" ContentType="application/vnd.openxmlformats-officedocument.spreadsheetml.table+xml"/>
  <Override PartName="/xl/tables/table37.xml" ContentType="application/vnd.openxmlformats-officedocument.spreadsheetml.table+xml"/>
  <Override PartName="/xl/queryTables/queryTable36.xml" ContentType="application/vnd.openxmlformats-officedocument.spreadsheetml.queryTable+xml"/>
  <Override PartName="/xl/queryTables/queryTable39.xml" ContentType="application/vnd.openxmlformats-officedocument.spreadsheetml.queryTable+xml"/>
  <Override PartName="/xl/tables/table39.xml" ContentType="application/vnd.openxmlformats-officedocument.spreadsheetml.table+xml"/>
  <Override PartName="/xl/tables/table36.xml" ContentType="application/vnd.openxmlformats-officedocument.spreadsheetml.table+xml"/>
  <Override PartName="/xl/tables/table45.xml" ContentType="application/vnd.openxmlformats-officedocument.spreadsheetml.table+xml"/>
  <Override PartName="/xl/tables/table52.xml" ContentType="application/vnd.openxmlformats-officedocument.spreadsheetml.table+xml"/>
  <Override PartName="/xl/queryTables/queryTable51.xml" ContentType="application/vnd.openxmlformats-officedocument.spreadsheetml.queryTable+xml"/>
  <Override PartName="/xl/tables/table51.xml" ContentType="application/vnd.openxmlformats-officedocument.spreadsheetml.table+xml"/>
  <Override PartName="/xl/queryTables/queryTable52.xml" ContentType="application/vnd.openxmlformats-officedocument.spreadsheetml.queryTable+xml"/>
  <Override PartName="/xl/queryTables/queryTable54.xml" ContentType="application/vnd.openxmlformats-officedocument.spreadsheetml.queryTable+xml"/>
  <Override PartName="/xl/tables/table54.xml" ContentType="application/vnd.openxmlformats-officedocument.spreadsheetml.table+xml"/>
  <Override PartName="/xl/queryTables/queryTable53.xml" ContentType="application/vnd.openxmlformats-officedocument.spreadsheetml.queryTable+xml"/>
  <Override PartName="/xl/tables/table53.xml" ContentType="application/vnd.openxmlformats-officedocument.spreadsheetml.table+xml"/>
  <Override PartName="/xl/queryTables/queryTable50.xml" ContentType="application/vnd.openxmlformats-officedocument.spreadsheetml.queryTable+xml"/>
  <Override PartName="/xl/tables/table50.xml" ContentType="application/vnd.openxmlformats-officedocument.spreadsheetml.table+xml"/>
  <Override PartName="/xl/tables/table47.xml" ContentType="application/vnd.openxmlformats-officedocument.spreadsheetml.table+xml"/>
  <Override PartName="/xl/queryTables/queryTable46.xml" ContentType="application/vnd.openxmlformats-officedocument.spreadsheetml.queryTable+xml"/>
  <Override PartName="/xl/tables/table46.xml" ContentType="application/vnd.openxmlformats-officedocument.spreadsheetml.table+xml"/>
  <Override PartName="/xl/queryTables/queryTable45.xml" ContentType="application/vnd.openxmlformats-officedocument.spreadsheetml.queryTable+xml"/>
  <Override PartName="/xl/queryTables/queryTable47.xml" ContentType="application/vnd.openxmlformats-officedocument.spreadsheetml.queryTable+xml"/>
  <Override PartName="/xl/tables/table48.xml" ContentType="application/vnd.openxmlformats-officedocument.spreadsheetml.table+xml"/>
  <Override PartName="/xl/queryTables/queryTable49.xml" ContentType="application/vnd.openxmlformats-officedocument.spreadsheetml.queryTable+xml"/>
  <Override PartName="/xl/tables/table49.xml" ContentType="application/vnd.openxmlformats-officedocument.spreadsheetml.table+xml"/>
  <Override PartName="/xl/queryTables/queryTable48.xml" ContentType="application/vnd.openxmlformats-officedocument.spreadsheetml.queryTable+xml"/>
  <Override PartName="/xl/tables/table72.xml" ContentType="application/vnd.openxmlformats-officedocument.spreadsheetml.table+xml"/>
  <Override PartName="/xl/queryTables/queryTable20.xml" ContentType="application/vnd.openxmlformats-officedocument.spreadsheetml.queryTable+xml"/>
  <Override PartName="/xl/tables/table21.xml" ContentType="application/vnd.openxmlformats-officedocument.spreadsheetml.table+xml"/>
  <Override PartName="/xl/queryTables/queryTable21.xml" ContentType="application/vnd.openxmlformats-officedocument.spreadsheetml.queryTable+xml"/>
  <Override PartName="/xl/tables/table22.xml" ContentType="application/vnd.openxmlformats-officedocument.spreadsheetml.table+xml"/>
  <Override PartName="/xl/tables/table20.xml" ContentType="application/vnd.openxmlformats-officedocument.spreadsheetml.table+xml"/>
  <Override PartName="/xl/queryTables/queryTable19.xml" ContentType="application/vnd.openxmlformats-officedocument.spreadsheetml.queryTable+xml"/>
  <Override PartName="/xl/tables/table18.xml" ContentType="application/vnd.openxmlformats-officedocument.spreadsheetml.table+xml"/>
  <Override PartName="/xl/queryTables/queryTable18.xml" ContentType="application/vnd.openxmlformats-officedocument.spreadsheetml.queryTable+xml"/>
  <Override PartName="/xl/tables/table19.xml" ContentType="application/vnd.openxmlformats-officedocument.spreadsheetml.table+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queryTables/queryTable23.xml" ContentType="application/vnd.openxmlformats-officedocument.spreadsheetml.queryTable+xml"/>
  <Override PartName="/xl/queryTables/queryTable86.xml" ContentType="application/vnd.openxmlformats-officedocument.spreadsheetml.queryTable+xml"/>
  <Override PartName="/xl/tables/table86.xml" ContentType="application/vnd.openxmlformats-officedocument.spreadsheetml.table+xml"/>
  <Override PartName="/xl/tables/table87.xml" ContentType="application/vnd.openxmlformats-officedocument.spreadsheetml.table+xml"/>
  <Override PartName="/xl/queryTables/queryTable87.xml" ContentType="application/vnd.openxmlformats-officedocument.spreadsheetml.queryTable+xml"/>
  <Override PartName="/xl/queryTables/queryTable22.xml" ContentType="application/vnd.openxmlformats-officedocument.spreadsheetml.queryTable+xml"/>
  <Override PartName="/xl/tables/table23.xml" ContentType="application/vnd.openxmlformats-officedocument.spreadsheetml.table+xml"/>
  <Override PartName="/xl/queryTables/queryTable17.xml" ContentType="application/vnd.openxmlformats-officedocument.spreadsheetml.queryTable+xml"/>
  <Override PartName="/xl/tables/table17.xml" ContentType="application/vnd.openxmlformats-officedocument.spreadsheetml.table+xml"/>
  <Override PartName="/xl/tables/table9.xml" ContentType="application/vnd.openxmlformats-officedocument.spreadsheetml.table+xml"/>
  <Override PartName="/xl/queryTables/queryTable9.xml" ContentType="application/vnd.openxmlformats-officedocument.spreadsheetml.queryTable+xml"/>
  <Override PartName="/xl/tables/table10.xml" ContentType="application/vnd.openxmlformats-officedocument.spreadsheetml.table+xml"/>
  <Override PartName="/xl/queryTables/queryTable10.xml" ContentType="application/vnd.openxmlformats-officedocument.spreadsheetml.queryTable+xml"/>
  <Override PartName="/xl/queryTables/queryTable8.xml" ContentType="application/vnd.openxmlformats-officedocument.spreadsheetml.queryTable+xml"/>
  <Override PartName="/xl/tables/table8.xml" ContentType="application/vnd.openxmlformats-officedocument.spreadsheetml.table+xml"/>
  <Override PartName="/xl/tables/table7.xml" ContentType="application/vnd.openxmlformats-officedocument.spreadsheetml.table+xml"/>
  <Override PartName="/xl/queryTables/queryTable7.xml" ContentType="application/vnd.openxmlformats-officedocument.spreadsheetml.queryTable+xml"/>
  <Override PartName="/xl/tables/table11.xml" ContentType="application/vnd.openxmlformats-officedocument.spreadsheetml.table+xml"/>
  <Override PartName="/xl/queryTables/queryTable11.xml" ContentType="application/vnd.openxmlformats-officedocument.spreadsheetml.queryTable+xml"/>
  <Override PartName="/xl/tables/table15.xml" ContentType="application/vnd.openxmlformats-officedocument.spreadsheetml.table+xml"/>
  <Override PartName="/xl/queryTables/queryTable15.xml" ContentType="application/vnd.openxmlformats-officedocument.spreadsheetml.queryTable+xml"/>
  <Override PartName="/xl/tables/table16.xml" ContentType="application/vnd.openxmlformats-officedocument.spreadsheetml.table+xml"/>
  <Override PartName="/xl/queryTables/queryTable16.xml" ContentType="application/vnd.openxmlformats-officedocument.spreadsheetml.queryTable+xml"/>
  <Override PartName="/xl/queryTables/queryTable14.xml" ContentType="application/vnd.openxmlformats-officedocument.spreadsheetml.queryTable+xml"/>
  <Override PartName="/xl/tables/table14.xml" ContentType="application/vnd.openxmlformats-officedocument.spreadsheetml.table+xml"/>
  <Override PartName="/xl/tables/table12.xml" ContentType="application/vnd.openxmlformats-officedocument.spreadsheetml.table+xml"/>
  <Override PartName="/xl/queryTables/queryTable12.xml" ContentType="application/vnd.openxmlformats-officedocument.spreadsheetml.queryTable+xml"/>
  <Override PartName="/xl/tables/table13.xml" ContentType="application/vnd.openxmlformats-officedocument.spreadsheetml.table+xml"/>
  <Override PartName="/xl/queryTables/queryTable13.xml" ContentType="application/vnd.openxmlformats-officedocument.spreadsheetml.queryTable+xml"/>
  <Override PartName="/xl/queryTables/queryTable85.xml" ContentType="application/vnd.openxmlformats-officedocument.spreadsheetml.queryTable+xml"/>
  <Override PartName="/xl/tables/table85.xml" ContentType="application/vnd.openxmlformats-officedocument.spreadsheetml.table+xml"/>
  <Override PartName="/xl/tables/table28.xml" ContentType="application/vnd.openxmlformats-officedocument.spreadsheetml.table+xml"/>
  <Override PartName="/xl/queryTables/queryTable76.xml" ContentType="application/vnd.openxmlformats-officedocument.spreadsheetml.queryTable+xml"/>
  <Override PartName="/xl/tables/table76.xml" ContentType="application/vnd.openxmlformats-officedocument.spreadsheetml.table+xml"/>
  <Override PartName="/xl/queryTables/queryTable28.xml" ContentType="application/vnd.openxmlformats-officedocument.spreadsheetml.queryTable+xml"/>
  <Override PartName="/xl/tables/table77.xml" ContentType="application/vnd.openxmlformats-officedocument.spreadsheetml.table+xml"/>
  <Override PartName="/xl/queryTables/queryTable77.xml" ContentType="application/vnd.openxmlformats-officedocument.spreadsheetml.queryTable+xml"/>
  <Override PartName="/xl/tables/table78.xml" ContentType="application/vnd.openxmlformats-officedocument.spreadsheetml.table+xml"/>
  <Override PartName="/xl/tables/table27.xml" ContentType="application/vnd.openxmlformats-officedocument.spreadsheetml.table+xml"/>
  <Override PartName="/xl/queryTables/queryTable27.xml" ContentType="application/vnd.openxmlformats-officedocument.spreadsheetml.queryTable+xml"/>
  <Override PartName="/xl/tables/table74.xml" ContentType="application/vnd.openxmlformats-officedocument.spreadsheetml.table+xml"/>
  <Override PartName="/xl/queryTables/queryTable73.xml" ContentType="application/vnd.openxmlformats-officedocument.spreadsheetml.queryTable+xml"/>
  <Override PartName="/xl/tables/table73.xml" ContentType="application/vnd.openxmlformats-officedocument.spreadsheetml.table+xml"/>
  <Override PartName="/xl/queryTables/queryTable72.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tables/table75.xml" ContentType="application/vnd.openxmlformats-officedocument.spreadsheetml.table+xml"/>
  <Override PartName="/xl/tables/table29.xml" ContentType="application/vnd.openxmlformats-officedocument.spreadsheetml.table+xml"/>
  <Override PartName="/xl/queryTables/queryTable29.xml" ContentType="application/vnd.openxmlformats-officedocument.spreadsheetml.queryTable+xml"/>
  <Override PartName="/xl/queryTables/queryTable78.xml" ContentType="application/vnd.openxmlformats-officedocument.spreadsheetml.queryTable+xml"/>
  <Override PartName="/xl/tables/table83.xml" ContentType="application/vnd.openxmlformats-officedocument.spreadsheetml.table+xml"/>
  <Override PartName="/xl/queryTables/queryTable82.xml" ContentType="application/vnd.openxmlformats-officedocument.spreadsheetml.queryTable+xml"/>
  <Override PartName="/xl/tables/table82.xml" ContentType="application/vnd.openxmlformats-officedocument.spreadsheetml.table+xml"/>
  <Override PartName="/xl/tables/table25.xml" ContentType="application/vnd.openxmlformats-officedocument.spreadsheetml.table+xml"/>
  <Override PartName="/xl/queryTables/queryTable83.xml" ContentType="application/vnd.openxmlformats-officedocument.spreadsheetml.queryTable+xml"/>
  <Override PartName="/xl/tables/table24.xml" ContentType="application/vnd.openxmlformats-officedocument.spreadsheetml.table+xml"/>
  <Override PartName="/xl/queryTables/queryTable24.xml" ContentType="application/vnd.openxmlformats-officedocument.spreadsheetml.queryTable+xml"/>
  <Override PartName="/xl/queryTables/queryTable84.xml" ContentType="application/vnd.openxmlformats-officedocument.spreadsheetml.queryTable+xml"/>
  <Override PartName="/xl/tables/table84.xml" ContentType="application/vnd.openxmlformats-officedocument.spreadsheetml.table+xml"/>
  <Override PartName="/xl/queryTables/queryTable81.xml" ContentType="application/vnd.openxmlformats-officedocument.spreadsheetml.queryTable+xml"/>
  <Override PartName="/xl/tables/table81.xml" ContentType="application/vnd.openxmlformats-officedocument.spreadsheetml.table+xml"/>
  <Override PartName="/xl/queryTables/queryTable25.xml" ContentType="application/vnd.openxmlformats-officedocument.spreadsheetml.queryTable+xml"/>
  <Override PartName="/xl/queryTables/queryTable79.xml" ContentType="application/vnd.openxmlformats-officedocument.spreadsheetml.queryTable+xml"/>
  <Override PartName="/xl/tables/table79.xml" ContentType="application/vnd.openxmlformats-officedocument.spreadsheetml.table+xml"/>
  <Override PartName="/xl/queryTables/queryTable26.xml" ContentType="application/vnd.openxmlformats-officedocument.spreadsheetml.queryTable+xml"/>
  <Override PartName="/xl/tables/table26.xml" ContentType="application/vnd.openxmlformats-officedocument.spreadsheetml.table+xml"/>
  <Override PartName="/xl/queryTables/queryTable80.xml" ContentType="application/vnd.openxmlformats-officedocument.spreadsheetml.queryTable+xml"/>
  <Override PartName="/xl/tables/table80.xml" ContentType="application/vnd.openxmlformats-officedocument.spreadsheetml.table+xml"/>
  <Override PartName="/xl/tables/table6.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225" windowWidth="7800" windowHeight="3690" tabRatio="875" firstSheet="103" activeTab="115"/>
  </bookViews>
  <sheets>
    <sheet name="Sheet1" sheetId="132" r:id="rId1"/>
    <sheet name="Intr." sheetId="145" r:id="rId2"/>
    <sheet name="Cont." sheetId="7" r:id="rId3"/>
    <sheet name="ConT.GR" sheetId="8" r:id="rId4"/>
    <sheet name="-" sheetId="9" r:id="rId5"/>
    <sheet name="Pref." sheetId="146" r:id="rId6"/>
    <sheet name="Def." sheetId="11" r:id="rId7"/>
    <sheet name="المؤشرات" sheetId="12" r:id="rId8"/>
    <sheet name="FIRST" sheetId="13" r:id="rId9"/>
    <sheet name="1" sheetId="14" r:id="rId10"/>
    <sheet name="GR-1" sheetId="15" r:id="rId11"/>
    <sheet name="2" sheetId="125" r:id="rId12"/>
    <sheet name="3" sheetId="16" r:id="rId13"/>
    <sheet name="GR-2" sheetId="17" r:id="rId14"/>
    <sheet name="4" sheetId="18" r:id="rId15"/>
    <sheet name="GR-3" sheetId="19" r:id="rId16"/>
    <sheet name="5" sheetId="20" r:id="rId17"/>
    <sheet name="GR-4" sheetId="21" r:id="rId18"/>
    <sheet name="6-1" sheetId="22" r:id="rId19"/>
    <sheet name="6-2" sheetId="148" r:id="rId20"/>
    <sheet name="GR-5" sheetId="23" r:id="rId21"/>
    <sheet name="7" sheetId="24" r:id="rId22"/>
    <sheet name="8" sheetId="25" r:id="rId23"/>
    <sheet name="GR-6" sheetId="26" r:id="rId24"/>
    <sheet name="9" sheetId="27" r:id="rId25"/>
    <sheet name="10" sheetId="28" r:id="rId26"/>
    <sheet name="11-1" sheetId="29" r:id="rId27"/>
    <sheet name="11-2" sheetId="30" r:id="rId28"/>
    <sheet name="11-3" sheetId="31" r:id="rId29"/>
    <sheet name="12-1" sheetId="32" r:id="rId30"/>
    <sheet name="12-2" sheetId="33" r:id="rId31"/>
    <sheet name="12-3" sheetId="34" r:id="rId32"/>
    <sheet name="13-1" sheetId="35" r:id="rId33"/>
    <sheet name="13-2" sheetId="36" r:id="rId34"/>
    <sheet name="13-3" sheetId="37" r:id="rId35"/>
    <sheet name="14-1" sheetId="38" r:id="rId36"/>
    <sheet name="14-2" sheetId="39" r:id="rId37"/>
    <sheet name="14-3" sheetId="40" r:id="rId38"/>
    <sheet name="15-1" sheetId="41" r:id="rId39"/>
    <sheet name="15-2" sheetId="42" r:id="rId40"/>
    <sheet name="15-3" sheetId="43" r:id="rId41"/>
    <sheet name="16-1" sheetId="44" r:id="rId42"/>
    <sheet name="16-2" sheetId="45" r:id="rId43"/>
    <sheet name="16-3" sheetId="46" r:id="rId44"/>
    <sheet name="GR-7" sheetId="47" r:id="rId45"/>
    <sheet name="17-1" sheetId="48" r:id="rId46"/>
    <sheet name="17-2" sheetId="49" r:id="rId47"/>
    <sheet name="17-3" sheetId="50" r:id="rId48"/>
    <sheet name="GR-8 " sheetId="51" r:id="rId49"/>
    <sheet name="18-1" sheetId="52" r:id="rId50"/>
    <sheet name="18-2" sheetId="53" r:id="rId51"/>
    <sheet name="18-3" sheetId="54" r:id="rId52"/>
    <sheet name="19" sheetId="55" r:id="rId53"/>
    <sheet name="20" sheetId="56" r:id="rId54"/>
    <sheet name="GR9" sheetId="57" r:id="rId55"/>
    <sheet name="SECOND" sheetId="58" r:id="rId56"/>
    <sheet name="21" sheetId="59" r:id="rId57"/>
    <sheet name="GR-10" sheetId="60" r:id="rId58"/>
    <sheet name="22-1" sheetId="149" r:id="rId59"/>
    <sheet name="22-2" sheetId="150" r:id="rId60"/>
    <sheet name="GR11" sheetId="62" r:id="rId61"/>
    <sheet name="23" sheetId="63" r:id="rId62"/>
    <sheet name="GR12" sheetId="64" r:id="rId63"/>
    <sheet name="24" sheetId="65" r:id="rId64"/>
    <sheet name="GR13" sheetId="66" r:id="rId65"/>
    <sheet name="GR14" sheetId="67" r:id="rId66"/>
    <sheet name="25-1" sheetId="68" r:id="rId67"/>
    <sheet name="25-2" sheetId="69" r:id="rId68"/>
    <sheet name="25-3" sheetId="70" r:id="rId69"/>
    <sheet name="26-1" sheetId="71" r:id="rId70"/>
    <sheet name="26-2" sheetId="72" r:id="rId71"/>
    <sheet name="26-3" sheetId="73" r:id="rId72"/>
    <sheet name="27" sheetId="140" r:id="rId73"/>
    <sheet name="28.1" sheetId="74" r:id="rId74"/>
    <sheet name="28.2" sheetId="75" r:id="rId75"/>
    <sheet name="28.3" sheetId="76" r:id="rId76"/>
    <sheet name="29" sheetId="142" r:id="rId77"/>
    <sheet name="30.1" sheetId="77" r:id="rId78"/>
    <sheet name="30.2" sheetId="78" r:id="rId79"/>
    <sheet name="30.3" sheetId="79" r:id="rId80"/>
    <sheet name="31.1" sheetId="80" r:id="rId81"/>
    <sheet name="31.2" sheetId="81" r:id="rId82"/>
    <sheet name="31.3" sheetId="82" r:id="rId83"/>
    <sheet name="32.1" sheetId="83" r:id="rId84"/>
    <sheet name="32.2" sheetId="84" r:id="rId85"/>
    <sheet name="32.3" sheetId="85" r:id="rId86"/>
    <sheet name="33.1" sheetId="86" r:id="rId87"/>
    <sheet name="33.2" sheetId="87" r:id="rId88"/>
    <sheet name="33.3" sheetId="88" r:id="rId89"/>
    <sheet name="34" sheetId="89" r:id="rId90"/>
    <sheet name="35" sheetId="90" r:id="rId91"/>
    <sheet name="36" sheetId="91" r:id="rId92"/>
    <sheet name="GR15" sheetId="92" r:id="rId93"/>
    <sheet name="37" sheetId="93" r:id="rId94"/>
    <sheet name="38.1" sheetId="94" r:id="rId95"/>
    <sheet name="38.2" sheetId="95" r:id="rId96"/>
    <sheet name="38.3" sheetId="96" r:id="rId97"/>
    <sheet name="GR16" sheetId="97" r:id="rId98"/>
    <sheet name="39.1" sheetId="98" r:id="rId99"/>
    <sheet name="39.2" sheetId="99" r:id="rId100"/>
    <sheet name="39.3" sheetId="100" r:id="rId101"/>
    <sheet name="40.1" sheetId="101" r:id="rId102"/>
    <sheet name="40.2" sheetId="102" r:id="rId103"/>
    <sheet name="40.3" sheetId="103" r:id="rId104"/>
    <sheet name="GR17" sheetId="104" r:id="rId105"/>
    <sheet name="41.1" sheetId="105" r:id="rId106"/>
    <sheet name="GR18" sheetId="106" r:id="rId107"/>
    <sheet name="41.2" sheetId="107" r:id="rId108"/>
    <sheet name="GR19" sheetId="108" r:id="rId109"/>
    <sheet name="41.3" sheetId="109" r:id="rId110"/>
    <sheet name="GR20" sheetId="110" r:id="rId111"/>
    <sheet name="42-1" sheetId="111" r:id="rId112"/>
    <sheet name="GR21" sheetId="112" r:id="rId113"/>
    <sheet name="42-2" sheetId="113" r:id="rId114"/>
    <sheet name="GR22" sheetId="133" r:id="rId115"/>
    <sheet name="42-3" sheetId="115" r:id="rId116"/>
    <sheet name="GR23" sheetId="134" r:id="rId117"/>
    <sheet name="43-1" sheetId="117" r:id="rId118"/>
    <sheet name="43-2" sheetId="118" r:id="rId119"/>
    <sheet name="43-3" sheetId="119" r:id="rId120"/>
    <sheet name="44" sheetId="126" r:id="rId121"/>
    <sheet name="GR24" sheetId="121" r:id="rId122"/>
    <sheet name="45" sheetId="122" r:id="rId123"/>
    <sheet name="46" sheetId="138" r:id="rId124"/>
    <sheet name="47" sheetId="139" r:id="rId125"/>
    <sheet name="الملاحق" sheetId="131" r:id="rId126"/>
    <sheet name="الزواج Marriage" sheetId="143" r:id="rId127"/>
    <sheet name="الطلاق Divorces" sheetId="144" r:id="rId128"/>
  </sheets>
  <definedNames>
    <definedName name="Default__XLS_TAB_1" localSheetId="9" hidden="1">'1'!$A$10:$N$19</definedName>
    <definedName name="Default__XLS_TAB_10" localSheetId="25" hidden="1">'10'!$A$8:$N$13</definedName>
    <definedName name="Default__XLS_TAB_11_1" localSheetId="26" hidden="1">'11-1'!$A$9:$N$22</definedName>
    <definedName name="Default__XLS_TAB_11_2" localSheetId="27" hidden="1">'11-2'!$A$9:$N$22</definedName>
    <definedName name="Default__XLS_TAB_11_3" localSheetId="28" hidden="1">'11-3'!$A$9:$N$22</definedName>
    <definedName name="Default__XLS_TAB_12_1" localSheetId="29" hidden="1">'12-1'!$A$9:$H$22</definedName>
    <definedName name="Default__XLS_TAB_12_2" localSheetId="30" hidden="1">'12-2'!$A$9:$H$22</definedName>
    <definedName name="Default__XLS_TAB_12_3" localSheetId="31" hidden="1">'12-3'!$A$9:$H$22</definedName>
    <definedName name="Default__XLS_TAB_13_1" localSheetId="32" hidden="1">'13-1'!$A$9:$H$22</definedName>
    <definedName name="Default__XLS_TAB_13_2" localSheetId="33" hidden="1">'13-2'!$A$9:$H$22</definedName>
    <definedName name="Default__XLS_TAB_13_3" localSheetId="34" hidden="1">'13-3'!$A$9:$H$22</definedName>
    <definedName name="Default__XLS_TAB_14_1" localSheetId="35" hidden="1">'14-1'!$A$9:$G$19</definedName>
    <definedName name="Default__XLS_TAB_14_2" localSheetId="36" hidden="1">'14-2'!$A$9:$G$19</definedName>
    <definedName name="Default__XLS_TAB_14_3" localSheetId="37" hidden="1">'14-3'!$A$9:$G$19</definedName>
    <definedName name="Default__XLS_TAB_15_1" localSheetId="38" hidden="1">'15-1'!$A$8:$F$17</definedName>
    <definedName name="Default__XLS_TAB_15_2" localSheetId="39" hidden="1">'15-2'!$A$8:$F$17</definedName>
    <definedName name="Default__XLS_TAB_15_3" localSheetId="40" hidden="1">'15-3'!$A$8:$F$17</definedName>
    <definedName name="Default__XLS_TAB_16_1" localSheetId="41" hidden="1">'16-1'!$B$9:$J$16</definedName>
    <definedName name="Default__XLS_TAB_16_2" localSheetId="42" hidden="1">'16-2'!$B$9:$J$16</definedName>
    <definedName name="Default__XLS_TAB_16_3" localSheetId="43" hidden="1">'16-3'!$B$9:$J$16</definedName>
    <definedName name="Default__XLS_TAB_17_1" localSheetId="45" hidden="1">'17-1'!$A$10:$O$21</definedName>
    <definedName name="Default__XLS_TAB_17_2" localSheetId="46" hidden="1">'17-2'!$A$10:$O$21</definedName>
    <definedName name="Default__XLS_TAB_17_3" localSheetId="47" hidden="1">'17-3'!$A$10:$O$21</definedName>
    <definedName name="Default__XLS_TAB_18_1" localSheetId="49" hidden="1">'18-1'!$A$9:$N$22</definedName>
    <definedName name="Default__XLS_TAB_18_2" localSheetId="50" hidden="1">'18-2'!$A$9:$N$22</definedName>
    <definedName name="Default__XLS_TAB_18_3" localSheetId="51" hidden="1">'18-3'!$A$9:$N$22</definedName>
    <definedName name="Default__XLS_TAB_19" localSheetId="52" hidden="1">'19'!$C$8:$J$15</definedName>
    <definedName name="Default__XLS_TAB_2" localSheetId="11" hidden="1">'2'!$A$9:$N$13</definedName>
    <definedName name="Default__XLS_TAB_20" localSheetId="53" hidden="1">'20'!$C$8:$J$15</definedName>
    <definedName name="Default__XLS_TAB_23" localSheetId="61" hidden="1">'23'!$B$8:$G$19</definedName>
    <definedName name="Default__XLS_TAB_24" localSheetId="63" hidden="1">'24'!$B$8:$G$13</definedName>
    <definedName name="Default__XLS_TAB_25_1" localSheetId="66" hidden="1">'25-1'!$B$9:$G$22</definedName>
    <definedName name="Default__XLS_TAB_25_2" localSheetId="67" hidden="1">'25-2'!$B$9:$G$22</definedName>
    <definedName name="Default__XLS_TAB_25_3" localSheetId="68" hidden="1">'25-3'!$B$9:$G$22</definedName>
    <definedName name="Default__XLS_TAB_26_2" localSheetId="69" hidden="1">'26-1'!$B$9:$G$19</definedName>
    <definedName name="Default__XLS_TAB_26_2" localSheetId="70" hidden="1">'26-2'!$B$9:$G$19</definedName>
    <definedName name="Default__XLS_TAB_26_2" localSheetId="71" hidden="1">'26-3'!$B$9:$G$19</definedName>
    <definedName name="Default__XLS_TAB_27_1" localSheetId="73" hidden="1">'28.1'!$B$9:$G$20</definedName>
    <definedName name="Default__XLS_TAB_27_1" localSheetId="74" hidden="1">'28.2'!$B$9:$G$20</definedName>
    <definedName name="Default__XLS_TAB_27_2" localSheetId="72" hidden="1">'27'!$C$8:$H$18</definedName>
    <definedName name="Default__XLS_TAB_27_2" localSheetId="123" hidden="1">'46'!$A$7:$E$13</definedName>
    <definedName name="Default__XLS_TAB_27_3" localSheetId="75" hidden="1">'28.3'!$B$9:$G$20</definedName>
    <definedName name="Default__XLS_TAB_28_1" localSheetId="77" hidden="1">'30.1'!$B$9:$G$20</definedName>
    <definedName name="Default__XLS_TAB_28_1" localSheetId="78" hidden="1">'30.2'!$B$9:$G$20</definedName>
    <definedName name="Default__XLS_TAB_28_2" localSheetId="78" hidden="1">'30.2'!$B$9:$I$16</definedName>
    <definedName name="Default__XLS_TAB_28_3" localSheetId="79" hidden="1">'30.3'!$B$9:$G$20</definedName>
    <definedName name="Default__XLS_TAB_29_1" localSheetId="80" hidden="1">'31.1'!$A$9:$O$22</definedName>
    <definedName name="Default__XLS_TAB_29_2" localSheetId="81" hidden="1">'31.2'!$A$9:$O$22</definedName>
    <definedName name="Default__XLS_TAB_29_3" localSheetId="82" hidden="1">'31.3'!$A$9:$O$22</definedName>
    <definedName name="Default__XLS_TAB_30_2" localSheetId="76" hidden="1">'29'!$A$9:$N$20</definedName>
    <definedName name="Default__XLS_TAB_30_2" localSheetId="84" hidden="1">'32.2'!#REF!</definedName>
    <definedName name="Default__XLS_TAB_30_3" localSheetId="83" hidden="1">'32.1'!$A$9:$O$19</definedName>
    <definedName name="Default__XLS_TAB_30_3" localSheetId="84" hidden="1">'32.2'!$A$9:$O$19</definedName>
    <definedName name="Default__XLS_TAB_30_3" localSheetId="85" hidden="1">'32.3'!$A$9:$O$19</definedName>
    <definedName name="Default__XLS_TAB_31_1" localSheetId="86" hidden="1">'33.1'!$A$9:$N$22</definedName>
    <definedName name="Default__XLS_TAB_31_2" localSheetId="87" hidden="1">'33.2'!$A$9:$N$22</definedName>
    <definedName name="Default__XLS_TAB_31_3" localSheetId="88" hidden="1">'33.3'!$A$9:$N$22</definedName>
    <definedName name="Default__XLS_TAB_32" localSheetId="89" hidden="1">'34'!$A$8:$Q$13</definedName>
    <definedName name="Default__XLS_TAB_33" localSheetId="90" hidden="1">'35'!$A$8:$N$13</definedName>
    <definedName name="Default__XLS_TAB_34" localSheetId="91" hidden="1">'36'!$B$8:$H$13</definedName>
    <definedName name="Default__XLS_TAB_35" localSheetId="93" hidden="1">'37'!$A$9:$N$22</definedName>
    <definedName name="Default__XLS_TAB_36_1" localSheetId="94" hidden="1">'38.1'!$B$9:$J$16</definedName>
    <definedName name="Default__XLS_TAB_36_2" localSheetId="95" hidden="1">'38.2'!$B$9:$J$16</definedName>
    <definedName name="Default__XLS_TAB_36_3" localSheetId="96" hidden="1">'38.3'!$B$9:$J$16</definedName>
    <definedName name="Default__XLS_TAB_37_1" localSheetId="98" hidden="1">'39.1'!$B$9:$J$19</definedName>
    <definedName name="Default__XLS_TAB_37_2" localSheetId="99" hidden="1">'39.2'!$B$9:$J$19</definedName>
    <definedName name="Default__XLS_TAB_37_3" localSheetId="100" hidden="1">'39.3'!$B$9:$J$19</definedName>
    <definedName name="Default__XLS_TAB_38_1" localSheetId="101" hidden="1">'40.1'!$A$10:$O$21</definedName>
    <definedName name="Default__XLS_TAB_38_2" localSheetId="102" hidden="1">'40.2'!$A$10:$O$21</definedName>
    <definedName name="Default__XLS_TAB_38_3" localSheetId="103" hidden="1">'40.3'!$A$10:$O$21</definedName>
    <definedName name="Default__XLS_TAB_39_1" localSheetId="105" hidden="1">'41.1'!$I$9:$V$22</definedName>
    <definedName name="Default__XLS_TAB_39_2" localSheetId="107" hidden="1">'41.2'!$A$9:$N$22</definedName>
    <definedName name="Default__XLS_TAB_39_3" localSheetId="109" hidden="1">'41.3'!$A$9:$N$22</definedName>
    <definedName name="Default__XLS_TAB_40_1" localSheetId="111" hidden="1">'42-1'!$B$9:$M$22</definedName>
    <definedName name="Default__XLS_TAB_40_2" localSheetId="113" hidden="1">'42-2'!$B$9:$M$22</definedName>
    <definedName name="Default__XLS_TAB_40_3" localSheetId="115" hidden="1">'42-3'!$B$9:$M$22</definedName>
    <definedName name="Default__XLS_TAB_41_1" localSheetId="117" hidden="1">'43-1'!$B$9:$J$19</definedName>
    <definedName name="Default__XLS_TAB_41_2" localSheetId="118" hidden="1">'43-2'!$B$9:$J$19</definedName>
    <definedName name="Default__XLS_TAB_41_3" localSheetId="119" hidden="1">'43-3'!$B$9:$J$19</definedName>
    <definedName name="Default__XLS_TAB_42" localSheetId="120" hidden="1">'44'!$C$8:$J$17</definedName>
    <definedName name="Default__XLS_TAB_43" localSheetId="122" hidden="1">'45'!$A$8:$L$19</definedName>
    <definedName name="Default__XLS_TAB_48" localSheetId="124" hidden="1">'47'!$A$7:$E$13</definedName>
    <definedName name="Default__XLS_TAB_6" localSheetId="58" hidden="1">'22-1'!$A$8:$E$16</definedName>
    <definedName name="Default__XLS_TAB_6" localSheetId="59" hidden="1">'22-2'!$A$8:$E$16</definedName>
    <definedName name="Default__XLS_TAB_6" localSheetId="18" hidden="1">'6-1'!$A$8:$E$16</definedName>
    <definedName name="Default__XLS_TAB_6" localSheetId="19" hidden="1">'6-2'!$A$8:$E$16</definedName>
    <definedName name="Default__XLS_TAB_7" localSheetId="21" hidden="1">'7'!$B$7:$G$18</definedName>
    <definedName name="Default__XLS_TAB_8" localSheetId="22" hidden="1">'8'!$B$8:$H$13</definedName>
    <definedName name="Default__XLS_TAB_9" localSheetId="24" hidden="1">'9'!$A$8:$Q$13</definedName>
    <definedName name="_xlnm.Print_Area" localSheetId="4">'-'!$A$1:$K$58</definedName>
    <definedName name="_xlnm.Print_Area" localSheetId="9">'1'!$A$1:$N$19</definedName>
    <definedName name="_xlnm.Print_Area" localSheetId="25">'10'!$A$1:$N$14</definedName>
    <definedName name="_xlnm.Print_Area" localSheetId="26">'11-1'!$A$1:$N$23</definedName>
    <definedName name="_xlnm.Print_Area" localSheetId="27">'11-2'!$A$1:$N$23</definedName>
    <definedName name="_xlnm.Print_Area" localSheetId="28">'11-3'!$A$1:$N$23</definedName>
    <definedName name="_xlnm.Print_Area" localSheetId="29">'12-1'!$A$1:$H$24</definedName>
    <definedName name="_xlnm.Print_Area" localSheetId="30">'12-2'!$A$1:$H$24</definedName>
    <definedName name="_xlnm.Print_Area" localSheetId="31">'12-3'!$A$1:$H$24</definedName>
    <definedName name="_xlnm.Print_Area" localSheetId="32">'13-1'!$A$1:$H$24</definedName>
    <definedName name="_xlnm.Print_Area" localSheetId="33">'13-2'!$A$1:$H$24</definedName>
    <definedName name="_xlnm.Print_Area" localSheetId="34">'13-3'!$A$1:$H$24</definedName>
    <definedName name="_xlnm.Print_Area" localSheetId="35">'14-1'!$A$1:$G$21</definedName>
    <definedName name="_xlnm.Print_Area" localSheetId="36">'14-2'!$A$1:$G$21</definedName>
    <definedName name="_xlnm.Print_Area" localSheetId="37">'14-3'!$A$1:$G$21</definedName>
    <definedName name="_xlnm.Print_Area" localSheetId="38">'15-1'!$A$1:$F$18</definedName>
    <definedName name="_xlnm.Print_Area" localSheetId="39">'15-2'!$A$1:$F$18</definedName>
    <definedName name="_xlnm.Print_Area" localSheetId="40">'15-3'!$A$1:$F$18</definedName>
    <definedName name="_xlnm.Print_Area" localSheetId="41">'16-1'!$A$1:$L$18</definedName>
    <definedName name="_xlnm.Print_Area" localSheetId="42">'16-2'!$A$1:$L$18</definedName>
    <definedName name="_xlnm.Print_Area" localSheetId="43">'16-3'!$A$1:$L$18</definedName>
    <definedName name="_xlnm.Print_Area" localSheetId="45">'17-1'!$A$1:$O$23</definedName>
    <definedName name="_xlnm.Print_Area" localSheetId="46">'17-2'!$A$1:$O$23</definedName>
    <definedName name="_xlnm.Print_Area" localSheetId="47">'17-3'!$A$1:$O$23</definedName>
    <definedName name="_xlnm.Print_Area" localSheetId="49">'18-1'!$A$1:$N$23</definedName>
    <definedName name="_xlnm.Print_Area" localSheetId="50">'18-2'!$A$1:$N$23</definedName>
    <definedName name="_xlnm.Print_Area" localSheetId="51">'18-3'!$A$1:$N$23</definedName>
    <definedName name="_xlnm.Print_Area" localSheetId="52">'19'!$A$1:$N$17</definedName>
    <definedName name="_xlnm.Print_Area" localSheetId="11">'2'!$A$1:$N$13</definedName>
    <definedName name="_xlnm.Print_Area" localSheetId="53">'20'!$A$1:$N$17</definedName>
    <definedName name="_xlnm.Print_Area" localSheetId="58">'22-1'!$A$1:$E$17</definedName>
    <definedName name="_xlnm.Print_Area" localSheetId="61">'23'!$A$1:$H$20</definedName>
    <definedName name="_xlnm.Print_Area" localSheetId="63">'24'!$A$1:$I$15</definedName>
    <definedName name="_xlnm.Print_Area" localSheetId="66">'25-1'!$A$1:$I$23</definedName>
    <definedName name="_xlnm.Print_Area" localSheetId="67">'25-2'!$A$1:$I$23</definedName>
    <definedName name="_xlnm.Print_Area" localSheetId="68">'25-3'!$A$1:$I$23</definedName>
    <definedName name="_xlnm.Print_Area" localSheetId="69">'26-1'!$A$1:$I$20</definedName>
    <definedName name="_xlnm.Print_Area" localSheetId="70">'26-2'!$A$1:$I$20</definedName>
    <definedName name="_xlnm.Print_Area" localSheetId="71">'26-3'!$A$1:$I$20</definedName>
    <definedName name="_xlnm.Print_Area" localSheetId="72">'27'!$A$1:$K$19</definedName>
    <definedName name="_xlnm.Print_Area" localSheetId="73">'28.1'!$A$1:$I$22</definedName>
    <definedName name="_xlnm.Print_Area" localSheetId="74">'28.2'!$A$1:$I$22</definedName>
    <definedName name="_xlnm.Print_Area" localSheetId="75">'28.3'!$A$1:$I$22</definedName>
    <definedName name="_xlnm.Print_Area" localSheetId="76">'29'!$A$1:$N$21</definedName>
    <definedName name="_xlnm.Print_Area" localSheetId="77">'30.1'!$A$1:$I$22</definedName>
    <definedName name="_xlnm.Print_Area" localSheetId="78">'30.2'!$A$1:$I$22</definedName>
    <definedName name="_xlnm.Print_Area" localSheetId="79">'30.3'!$A$1:$I$22</definedName>
    <definedName name="_xlnm.Print_Area" localSheetId="80">'31.1'!$A$1:$O$24</definedName>
    <definedName name="_xlnm.Print_Area" localSheetId="81">'31.2'!$A$1:$O$24</definedName>
    <definedName name="_xlnm.Print_Area" localSheetId="82">'31.3'!$A$1:$O$24</definedName>
    <definedName name="_xlnm.Print_Area" localSheetId="83">'32.1'!$A$1:$O$21</definedName>
    <definedName name="_xlnm.Print_Area" localSheetId="84">'32.2'!$A$1:$O$21</definedName>
    <definedName name="_xlnm.Print_Area" localSheetId="85">'32.3'!$A$1:$O$21</definedName>
    <definedName name="_xlnm.Print_Area" localSheetId="86">'33.1'!$A$1:$N$23</definedName>
    <definedName name="_xlnm.Print_Area" localSheetId="87">'33.2'!$A$1:$N$23</definedName>
    <definedName name="_xlnm.Print_Area" localSheetId="88">'33.3'!$A$1:$N$23</definedName>
    <definedName name="_xlnm.Print_Area" localSheetId="89">'34'!$A$1:$Q$14</definedName>
    <definedName name="_xlnm.Print_Area" localSheetId="90">'35'!$A$1:$N$14</definedName>
    <definedName name="_xlnm.Print_Area" localSheetId="91">'36'!$A$1:$J$15</definedName>
    <definedName name="_xlnm.Print_Area" localSheetId="93">'37'!$A$1:$N$23</definedName>
    <definedName name="_xlnm.Print_Area" localSheetId="94">'38.1'!$A$1:$L$18</definedName>
    <definedName name="_xlnm.Print_Area" localSheetId="95">'38.2'!$A$1:$L$18</definedName>
    <definedName name="_xlnm.Print_Area" localSheetId="96">'38.3'!$A$1:$L$18</definedName>
    <definedName name="_xlnm.Print_Area" localSheetId="98">'39.1'!$A$1:$L$21</definedName>
    <definedName name="_xlnm.Print_Area" localSheetId="99">'39.2'!$A$1:$L$21</definedName>
    <definedName name="_xlnm.Print_Area" localSheetId="100">'39.3'!$A$1:$L$21</definedName>
    <definedName name="_xlnm.Print_Area" localSheetId="14">'4'!$A$1:$F$17</definedName>
    <definedName name="_xlnm.Print_Area" localSheetId="101">'40.1'!$A$1:$O$23</definedName>
    <definedName name="_xlnm.Print_Area" localSheetId="102">'40.2'!$A$1:$O$23</definedName>
    <definedName name="_xlnm.Print_Area" localSheetId="103">'40.3'!$A$1:$O$23</definedName>
    <definedName name="_xlnm.Print_Area" localSheetId="105">'41.1'!$I$1:$V$23</definedName>
    <definedName name="_xlnm.Print_Area" localSheetId="107">'41.2'!$A$1:$N$23</definedName>
    <definedName name="_xlnm.Print_Area" localSheetId="109">'41.3'!$A$1:$N$23</definedName>
    <definedName name="_xlnm.Print_Area" localSheetId="111">'42-1'!$A$1:$O$25</definedName>
    <definedName name="_xlnm.Print_Area" localSheetId="113">'42-2'!$A$1:$O$25</definedName>
    <definedName name="_xlnm.Print_Area" localSheetId="115">'42-3'!$A$1:$O$25</definedName>
    <definedName name="_xlnm.Print_Area" localSheetId="117">'43-1'!$A$1:$L$22</definedName>
    <definedName name="_xlnm.Print_Area" localSheetId="118">'43-2'!$A$1:$L$22</definedName>
    <definedName name="_xlnm.Print_Area" localSheetId="119">'43-3'!$A$1:$L$22</definedName>
    <definedName name="_xlnm.Print_Area" localSheetId="120">'44'!$A$1:$N$18</definedName>
    <definedName name="_xlnm.Print_Area" localSheetId="122">'45'!$A$1:$L$21</definedName>
    <definedName name="_xlnm.Print_Area" localSheetId="123">'46'!$A$1:$E$15</definedName>
    <definedName name="_xlnm.Print_Area" localSheetId="124">'47'!$A$1:$E$15</definedName>
    <definedName name="_xlnm.Print_Area" localSheetId="18">'6-1'!$A$1:$E$17</definedName>
    <definedName name="_xlnm.Print_Area" localSheetId="19">'6-2'!$A$1:$E$17</definedName>
    <definedName name="_xlnm.Print_Area" localSheetId="21">'7'!$A$1:$H$19</definedName>
    <definedName name="_xlnm.Print_Area" localSheetId="22">'8'!$A$1:$J$15</definedName>
    <definedName name="_xlnm.Print_Area" localSheetId="24">'9'!$A$1:$Q$14</definedName>
    <definedName name="_xlnm.Print_Area" localSheetId="2">Cont.!$A$1:$D$105</definedName>
    <definedName name="_xlnm.Print_Area" localSheetId="3">ConT.GR!$A$1:$D$28</definedName>
    <definedName name="_xlnm.Print_Area" localSheetId="6">Def.!$A$1:$E$18</definedName>
    <definedName name="_xlnm.Print_Area" localSheetId="10">'GR-1'!$A$1:$M$37</definedName>
    <definedName name="_xlnm.Print_Area" localSheetId="57">'GR-10'!$A$1:$M$34</definedName>
    <definedName name="_xlnm.Print_Area" localSheetId="60">'GR11'!$A$1:$K$59</definedName>
    <definedName name="_xlnm.Print_Area" localSheetId="62">'GR12'!$A$1:$N$37</definedName>
    <definedName name="_xlnm.Print_Area" localSheetId="64">'GR13'!$A$1:$M$34</definedName>
    <definedName name="_xlnm.Print_Area" localSheetId="65">'GR14'!$A$1:$M$33</definedName>
    <definedName name="_xlnm.Print_Area" localSheetId="92">'GR15'!$A$1:$N$36</definedName>
    <definedName name="_xlnm.Print_Area" localSheetId="97">'GR16'!$A$1:$N$35</definedName>
    <definedName name="_xlnm.Print_Area" localSheetId="104">'GR17'!$A$1:$M$37</definedName>
    <definedName name="_xlnm.Print_Area" localSheetId="106">'GR18'!$A$1:$N$36</definedName>
    <definedName name="_xlnm.Print_Area" localSheetId="108">'GR19'!$A$1:$N$36</definedName>
    <definedName name="_xlnm.Print_Area" localSheetId="13">'GR-2'!$A$1:$M$36</definedName>
    <definedName name="_xlnm.Print_Area" localSheetId="110">'GR20'!$A$1:$N$36</definedName>
    <definedName name="_xlnm.Print_Area" localSheetId="112">'GR21'!$A$1:$N$37</definedName>
    <definedName name="_xlnm.Print_Area" localSheetId="114">'GR22'!$A$1:$N$37</definedName>
    <definedName name="_xlnm.Print_Area" localSheetId="116">'GR23'!$A$1:$N$37</definedName>
    <definedName name="_xlnm.Print_Area" localSheetId="121">'GR24'!$A$1:$M$33</definedName>
    <definedName name="_xlnm.Print_Area" localSheetId="15">'GR-3'!$A$1:$M$34</definedName>
    <definedName name="_xlnm.Print_Area" localSheetId="17">'GR-4'!$A$1:$M$34</definedName>
    <definedName name="_xlnm.Print_Area" localSheetId="20">'GR-5'!$A$1:$J$55</definedName>
    <definedName name="_xlnm.Print_Area" localSheetId="23">'GR-6'!$A$1:$M$31</definedName>
    <definedName name="_xlnm.Print_Area" localSheetId="44">'GR-7'!$A$1:$M$33</definedName>
    <definedName name="_xlnm.Print_Area" localSheetId="48">'GR-8 '!$A$1:$N$38</definedName>
    <definedName name="_xlnm.Print_Area" localSheetId="54">'GR9'!$A$1:$M$33</definedName>
    <definedName name="_xlnm.Print_Area" localSheetId="126">'الزواج Marriage'!$A$1:$H$30</definedName>
    <definedName name="_xlnm.Print_Area" localSheetId="127">'الطلاق Divorces'!$A$1:$H$30</definedName>
    <definedName name="_xlnm.Print_Area" localSheetId="7">المؤشرات!$A$1:$E$32</definedName>
    <definedName name="_xlnm.Print_Titles" localSheetId="2">Cont.!$1:$3</definedName>
    <definedName name="_xlnm.Print_Titles" localSheetId="3">ConT.GR!$1:$3</definedName>
  </definedNames>
  <calcPr calcId="145621"/>
</workbook>
</file>

<file path=xl/calcChain.xml><?xml version="1.0" encoding="utf-8"?>
<calcChain xmlns="http://schemas.openxmlformats.org/spreadsheetml/2006/main">
  <c r="C17" i="150" l="1"/>
  <c r="B17" i="150"/>
  <c r="D16" i="150"/>
  <c r="D15" i="150"/>
  <c r="D14" i="150"/>
  <c r="D13" i="150"/>
  <c r="D12" i="150"/>
  <c r="D11" i="150"/>
  <c r="D10" i="150"/>
  <c r="D9" i="150"/>
  <c r="D8" i="150"/>
  <c r="C17" i="149"/>
  <c r="B17" i="149"/>
  <c r="D16" i="149"/>
  <c r="D15" i="149"/>
  <c r="D14" i="149"/>
  <c r="D13" i="149"/>
  <c r="D12" i="149"/>
  <c r="D11" i="149"/>
  <c r="D10" i="149"/>
  <c r="D9" i="149"/>
  <c r="D8" i="149"/>
  <c r="D15" i="22"/>
  <c r="B17" i="148"/>
  <c r="D15" i="148"/>
  <c r="C17" i="148"/>
  <c r="D16" i="148"/>
  <c r="D14" i="148"/>
  <c r="D13" i="148"/>
  <c r="D12" i="148"/>
  <c r="D11" i="148"/>
  <c r="D10" i="148"/>
  <c r="D9" i="148"/>
  <c r="D8" i="148"/>
  <c r="D17" i="150" l="1"/>
  <c r="D17" i="149"/>
  <c r="D17" i="148"/>
  <c r="B14" i="138"/>
  <c r="C14" i="138"/>
  <c r="D14" i="138"/>
  <c r="H18" i="77"/>
  <c r="H21" i="77"/>
  <c r="H9" i="77"/>
  <c r="B36" i="50"/>
  <c r="C33" i="50"/>
  <c r="B32" i="50"/>
  <c r="C31" i="50"/>
  <c r="B31" i="50"/>
  <c r="B51" i="50"/>
  <c r="B26" i="50"/>
  <c r="I11" i="25"/>
  <c r="I8" i="25"/>
  <c r="B15" i="25"/>
  <c r="B14" i="25" l="1"/>
  <c r="H8" i="25"/>
  <c r="D8" i="24"/>
  <c r="D9" i="24"/>
  <c r="D10" i="24"/>
  <c r="D11" i="24"/>
  <c r="D12" i="24"/>
  <c r="D13" i="24"/>
  <c r="D14" i="24"/>
  <c r="D15" i="24"/>
  <c r="D16" i="24"/>
  <c r="D17" i="24"/>
  <c r="D18" i="24"/>
  <c r="G8" i="24"/>
  <c r="G9" i="24"/>
  <c r="G10" i="24"/>
  <c r="G11" i="24"/>
  <c r="G12" i="24"/>
  <c r="G13" i="24"/>
  <c r="G14" i="24"/>
  <c r="G15" i="24"/>
  <c r="G16" i="24"/>
  <c r="G17" i="24"/>
  <c r="G18" i="24"/>
  <c r="G7" i="24"/>
  <c r="D7" i="24"/>
  <c r="D9" i="22"/>
  <c r="D10" i="22"/>
  <c r="D11" i="22"/>
  <c r="D12" i="22"/>
  <c r="D13" i="22"/>
  <c r="D14" i="22"/>
  <c r="D16" i="22"/>
  <c r="D8" i="22"/>
  <c r="C22" i="103" l="1"/>
  <c r="D22" i="103"/>
  <c r="E22" i="103"/>
  <c r="F22" i="103"/>
  <c r="G22" i="103"/>
  <c r="H22" i="103"/>
  <c r="I22" i="103"/>
  <c r="J22" i="103"/>
  <c r="K22" i="103"/>
  <c r="L22" i="103"/>
  <c r="M22" i="103"/>
  <c r="N22" i="103"/>
  <c r="B22" i="103"/>
  <c r="C20" i="103"/>
  <c r="D20" i="103"/>
  <c r="E20" i="103"/>
  <c r="F20" i="103"/>
  <c r="G20" i="103"/>
  <c r="H20" i="103"/>
  <c r="I20" i="103"/>
  <c r="J20" i="103"/>
  <c r="K20" i="103"/>
  <c r="L20" i="103"/>
  <c r="M20" i="103"/>
  <c r="N20" i="103"/>
  <c r="B20" i="103"/>
  <c r="N11" i="103"/>
  <c r="N12" i="103"/>
  <c r="N13" i="103"/>
  <c r="N14" i="103"/>
  <c r="N15" i="103"/>
  <c r="N16" i="103"/>
  <c r="N17" i="103"/>
  <c r="N18" i="103"/>
  <c r="N19" i="103"/>
  <c r="L11" i="103"/>
  <c r="L12" i="103"/>
  <c r="L13" i="103"/>
  <c r="L14" i="103"/>
  <c r="L15" i="103"/>
  <c r="L16" i="103"/>
  <c r="L17" i="103"/>
  <c r="L18" i="103"/>
  <c r="L19" i="103"/>
  <c r="N10" i="103"/>
  <c r="L10" i="103"/>
  <c r="C22" i="102"/>
  <c r="D22" i="102"/>
  <c r="E22" i="102"/>
  <c r="F22" i="102"/>
  <c r="G22" i="102"/>
  <c r="H22" i="102"/>
  <c r="I22" i="102"/>
  <c r="J22" i="102"/>
  <c r="K22" i="102"/>
  <c r="L22" i="102"/>
  <c r="M22" i="102"/>
  <c r="N22" i="102"/>
  <c r="B22" i="102"/>
  <c r="C20" i="102"/>
  <c r="D20" i="102"/>
  <c r="E20" i="102"/>
  <c r="F20" i="102"/>
  <c r="G20" i="102"/>
  <c r="H20" i="102"/>
  <c r="I20" i="102"/>
  <c r="J20" i="102"/>
  <c r="K20" i="102"/>
  <c r="L20" i="102"/>
  <c r="M20" i="102"/>
  <c r="N20" i="102"/>
  <c r="B20" i="102"/>
  <c r="N11" i="102"/>
  <c r="N12" i="102"/>
  <c r="N13" i="102"/>
  <c r="N14" i="102"/>
  <c r="N15" i="102"/>
  <c r="N16" i="102"/>
  <c r="N17" i="102"/>
  <c r="N18" i="102"/>
  <c r="N19" i="102"/>
  <c r="L11" i="102"/>
  <c r="L12" i="102"/>
  <c r="L13" i="102"/>
  <c r="L14" i="102"/>
  <c r="L15" i="102"/>
  <c r="L16" i="102"/>
  <c r="L17" i="102"/>
  <c r="L18" i="102"/>
  <c r="L19" i="102"/>
  <c r="N10" i="102"/>
  <c r="L10" i="102"/>
  <c r="N22" i="101"/>
  <c r="C20" i="101"/>
  <c r="D20" i="101"/>
  <c r="E20" i="101"/>
  <c r="F20" i="101"/>
  <c r="G20" i="101"/>
  <c r="H20" i="101"/>
  <c r="I20" i="101"/>
  <c r="J20" i="101"/>
  <c r="K20" i="101"/>
  <c r="L20" i="101"/>
  <c r="M20" i="101"/>
  <c r="N20" i="101"/>
  <c r="B20" i="101"/>
  <c r="L10" i="101"/>
  <c r="L15" i="126"/>
  <c r="L13" i="126"/>
  <c r="L11" i="126"/>
  <c r="L9" i="126"/>
  <c r="L16" i="126"/>
  <c r="L14" i="126"/>
  <c r="L12" i="126"/>
  <c r="L10" i="126"/>
  <c r="L8" i="126"/>
  <c r="D16" i="126"/>
  <c r="E16" i="126"/>
  <c r="F16" i="126"/>
  <c r="G16" i="126"/>
  <c r="H16" i="126"/>
  <c r="I16" i="126"/>
  <c r="J16" i="126"/>
  <c r="D17" i="126"/>
  <c r="E17" i="126"/>
  <c r="F17" i="126"/>
  <c r="G17" i="126"/>
  <c r="H17" i="126"/>
  <c r="I17" i="126"/>
  <c r="J17" i="126"/>
  <c r="C17" i="126"/>
  <c r="C16" i="126"/>
  <c r="K9" i="126"/>
  <c r="K10" i="126"/>
  <c r="K11" i="126"/>
  <c r="K12" i="126"/>
  <c r="K13" i="126"/>
  <c r="K14" i="126"/>
  <c r="K15" i="126"/>
  <c r="K8" i="126"/>
  <c r="N10" i="101"/>
  <c r="C20" i="50"/>
  <c r="C22" i="50" s="1"/>
  <c r="D20" i="50"/>
  <c r="D22" i="50" s="1"/>
  <c r="E20" i="50"/>
  <c r="E22" i="50" s="1"/>
  <c r="F20" i="50"/>
  <c r="F22" i="50" s="1"/>
  <c r="G20" i="50"/>
  <c r="G22" i="50" s="1"/>
  <c r="H20" i="50"/>
  <c r="H22" i="50" s="1"/>
  <c r="I20" i="50"/>
  <c r="I22" i="50" s="1"/>
  <c r="J20" i="50"/>
  <c r="J22" i="50" s="1"/>
  <c r="K20" i="50"/>
  <c r="K22" i="50" s="1"/>
  <c r="M20" i="50"/>
  <c r="M22" i="50" s="1"/>
  <c r="B20" i="50"/>
  <c r="B22" i="50" s="1"/>
  <c r="L11" i="50"/>
  <c r="N11" i="50" s="1"/>
  <c r="L12" i="50"/>
  <c r="N12" i="50" s="1"/>
  <c r="L13" i="50"/>
  <c r="N13" i="50" s="1"/>
  <c r="L14" i="50"/>
  <c r="N14" i="50" s="1"/>
  <c r="L15" i="50"/>
  <c r="N15" i="50" s="1"/>
  <c r="L16" i="50"/>
  <c r="N16" i="50" s="1"/>
  <c r="L17" i="50"/>
  <c r="N17" i="50" s="1"/>
  <c r="L18" i="50"/>
  <c r="N18" i="50" s="1"/>
  <c r="L19" i="50"/>
  <c r="N19" i="50" s="1"/>
  <c r="L10" i="50"/>
  <c r="L20" i="50" s="1"/>
  <c r="L22" i="50" s="1"/>
  <c r="C22" i="49"/>
  <c r="D22" i="49"/>
  <c r="E22" i="49"/>
  <c r="F22" i="49"/>
  <c r="G22" i="49"/>
  <c r="H22" i="49"/>
  <c r="I22" i="49"/>
  <c r="J22" i="49"/>
  <c r="K22" i="49"/>
  <c r="L22" i="49"/>
  <c r="M22" i="49"/>
  <c r="N22" i="49"/>
  <c r="B22" i="49"/>
  <c r="C20" i="49"/>
  <c r="D20" i="49"/>
  <c r="E20" i="49"/>
  <c r="F20" i="49"/>
  <c r="G20" i="49"/>
  <c r="H20" i="49"/>
  <c r="I20" i="49"/>
  <c r="J20" i="49"/>
  <c r="K20" i="49"/>
  <c r="L20" i="49"/>
  <c r="M20" i="49"/>
  <c r="N20" i="49"/>
  <c r="B20" i="49"/>
  <c r="N11" i="49"/>
  <c r="N12" i="49"/>
  <c r="N13" i="49"/>
  <c r="N14" i="49"/>
  <c r="N15" i="49"/>
  <c r="N16" i="49"/>
  <c r="N17" i="49"/>
  <c r="N18" i="49"/>
  <c r="N19" i="49"/>
  <c r="L11" i="49"/>
  <c r="L12" i="49"/>
  <c r="L13" i="49"/>
  <c r="L14" i="49"/>
  <c r="L15" i="49"/>
  <c r="L16" i="49"/>
  <c r="L17" i="49"/>
  <c r="L18" i="49"/>
  <c r="L19" i="49"/>
  <c r="N10" i="49"/>
  <c r="L10" i="49"/>
  <c r="C22" i="48"/>
  <c r="D22" i="48"/>
  <c r="E22" i="48"/>
  <c r="F22" i="48"/>
  <c r="G22" i="48"/>
  <c r="H22" i="48"/>
  <c r="I22" i="48"/>
  <c r="J22" i="48"/>
  <c r="K22" i="48"/>
  <c r="L22" i="48"/>
  <c r="M22" i="48"/>
  <c r="N22" i="48"/>
  <c r="B22" i="48"/>
  <c r="M20" i="48"/>
  <c r="N20" i="48"/>
  <c r="C20" i="48"/>
  <c r="D20" i="48"/>
  <c r="E20" i="48"/>
  <c r="F20" i="48"/>
  <c r="G20" i="48"/>
  <c r="H20" i="48"/>
  <c r="I20" i="48"/>
  <c r="J20" i="48"/>
  <c r="K20" i="48"/>
  <c r="L20" i="48"/>
  <c r="B20" i="48"/>
  <c r="N11" i="48"/>
  <c r="N12" i="48"/>
  <c r="N13" i="48"/>
  <c r="N14" i="48"/>
  <c r="N15" i="48"/>
  <c r="N16" i="48"/>
  <c r="N17" i="48"/>
  <c r="N18" i="48"/>
  <c r="N19" i="48"/>
  <c r="L11" i="48"/>
  <c r="L12" i="48"/>
  <c r="L13" i="48"/>
  <c r="L14" i="48"/>
  <c r="L15" i="48"/>
  <c r="L16" i="48"/>
  <c r="L17" i="48"/>
  <c r="L18" i="48"/>
  <c r="L19" i="48"/>
  <c r="N10" i="48"/>
  <c r="L10" i="48"/>
  <c r="L17" i="126" l="1"/>
  <c r="K17" i="126"/>
  <c r="K16" i="126"/>
  <c r="N10" i="50"/>
  <c r="N20" i="50" s="1"/>
  <c r="N22" i="50" s="1"/>
  <c r="J22" i="101"/>
  <c r="K22" i="101"/>
  <c r="M22" i="101"/>
  <c r="N11" i="101"/>
  <c r="N12" i="101"/>
  <c r="N13" i="101"/>
  <c r="N14" i="101"/>
  <c r="N15" i="101"/>
  <c r="N16" i="101"/>
  <c r="N17" i="101"/>
  <c r="N18" i="101"/>
  <c r="N19" i="101"/>
  <c r="L21" i="101"/>
  <c r="L22" i="101"/>
  <c r="B23" i="101"/>
  <c r="L11" i="101"/>
  <c r="L12" i="101"/>
  <c r="L13" i="101"/>
  <c r="L14" i="101"/>
  <c r="L15" i="101"/>
  <c r="L16" i="101"/>
  <c r="L17" i="101"/>
  <c r="L18" i="101"/>
  <c r="L19" i="101"/>
  <c r="H9" i="140"/>
  <c r="H10" i="140"/>
  <c r="H11" i="140"/>
  <c r="H12" i="140"/>
  <c r="H13" i="140"/>
  <c r="H14" i="140"/>
  <c r="H16" i="140" s="1"/>
  <c r="H15" i="140"/>
  <c r="H8" i="140"/>
  <c r="H18" i="140"/>
  <c r="D17" i="140"/>
  <c r="E17" i="140"/>
  <c r="F17" i="140"/>
  <c r="G17" i="140"/>
  <c r="H17" i="140"/>
  <c r="C17" i="140"/>
  <c r="D16" i="140"/>
  <c r="E16" i="140"/>
  <c r="F16" i="140"/>
  <c r="G16" i="140"/>
  <c r="C16" i="140"/>
  <c r="K9" i="122"/>
  <c r="K10" i="122"/>
  <c r="K11" i="122"/>
  <c r="K12" i="122"/>
  <c r="K13" i="122"/>
  <c r="K14" i="122"/>
  <c r="K15" i="122"/>
  <c r="K16" i="122"/>
  <c r="K17" i="122"/>
  <c r="K18" i="122"/>
  <c r="K19" i="122"/>
  <c r="K8" i="122"/>
  <c r="J9" i="122"/>
  <c r="J10" i="122"/>
  <c r="J11" i="122"/>
  <c r="J12" i="122"/>
  <c r="J13" i="122"/>
  <c r="J14" i="122"/>
  <c r="J15" i="122"/>
  <c r="J16" i="122"/>
  <c r="J17" i="122"/>
  <c r="J18" i="122"/>
  <c r="J19" i="122"/>
  <c r="J8" i="122"/>
  <c r="B20" i="122" l="1"/>
  <c r="J19" i="119"/>
  <c r="J18" i="119"/>
  <c r="J17" i="119"/>
  <c r="J16" i="119"/>
  <c r="J15" i="119"/>
  <c r="J14" i="119"/>
  <c r="J13" i="119"/>
  <c r="J12" i="119"/>
  <c r="J11" i="119"/>
  <c r="J10" i="119"/>
  <c r="J9" i="119"/>
  <c r="J20" i="119" s="1"/>
  <c r="J10" i="118"/>
  <c r="J11" i="118"/>
  <c r="J12" i="118"/>
  <c r="J13" i="118"/>
  <c r="J14" i="118"/>
  <c r="J15" i="118"/>
  <c r="J16" i="118"/>
  <c r="J17" i="118"/>
  <c r="J18" i="118"/>
  <c r="J19" i="118"/>
  <c r="J9" i="118"/>
  <c r="J20" i="118" s="1"/>
  <c r="J10" i="117"/>
  <c r="J11" i="117"/>
  <c r="J12" i="117"/>
  <c r="J13" i="117"/>
  <c r="J14" i="117"/>
  <c r="J15" i="117"/>
  <c r="J16" i="117"/>
  <c r="J17" i="117"/>
  <c r="J18" i="117"/>
  <c r="J19" i="117"/>
  <c r="J9" i="117"/>
  <c r="J20" i="117" s="1"/>
  <c r="M10" i="115"/>
  <c r="M11" i="115"/>
  <c r="M12" i="115"/>
  <c r="M13" i="115"/>
  <c r="M14" i="115"/>
  <c r="M15" i="115"/>
  <c r="M16" i="115"/>
  <c r="M17" i="115"/>
  <c r="M18" i="115"/>
  <c r="M19" i="115"/>
  <c r="M20" i="115"/>
  <c r="M21" i="115"/>
  <c r="M22" i="115"/>
  <c r="M9" i="115"/>
  <c r="M10" i="113"/>
  <c r="M11" i="113"/>
  <c r="M12" i="113"/>
  <c r="M13" i="113"/>
  <c r="M14" i="113"/>
  <c r="M15" i="113"/>
  <c r="M16" i="113"/>
  <c r="M17" i="113"/>
  <c r="M18" i="113"/>
  <c r="M19" i="113"/>
  <c r="M20" i="113"/>
  <c r="M21" i="113"/>
  <c r="M22" i="113"/>
  <c r="M9" i="113"/>
  <c r="M10" i="111"/>
  <c r="M11" i="111"/>
  <c r="M12" i="111"/>
  <c r="M13" i="111"/>
  <c r="M14" i="111"/>
  <c r="M15" i="111"/>
  <c r="M16" i="111"/>
  <c r="M17" i="111"/>
  <c r="M18" i="111"/>
  <c r="M19" i="111"/>
  <c r="M20" i="111"/>
  <c r="M21" i="111"/>
  <c r="M22" i="111"/>
  <c r="M9" i="111"/>
  <c r="M10" i="109"/>
  <c r="M11" i="109"/>
  <c r="M12" i="109"/>
  <c r="M13" i="109"/>
  <c r="M14" i="109"/>
  <c r="M15" i="109"/>
  <c r="M16" i="109"/>
  <c r="M17" i="109"/>
  <c r="M18" i="109"/>
  <c r="M19" i="109"/>
  <c r="M20" i="109"/>
  <c r="M21" i="109"/>
  <c r="M22" i="109"/>
  <c r="M9" i="109"/>
  <c r="M10" i="107"/>
  <c r="M11" i="107"/>
  <c r="M12" i="107"/>
  <c r="M13" i="107"/>
  <c r="M14" i="107"/>
  <c r="M15" i="107"/>
  <c r="M16" i="107"/>
  <c r="M17" i="107"/>
  <c r="M18" i="107"/>
  <c r="M19" i="107"/>
  <c r="M20" i="107"/>
  <c r="M21" i="107"/>
  <c r="M22" i="107"/>
  <c r="M9" i="107"/>
  <c r="M23" i="107"/>
  <c r="U10" i="105"/>
  <c r="U11" i="105"/>
  <c r="U12" i="105"/>
  <c r="U13" i="105"/>
  <c r="U14" i="105"/>
  <c r="U15" i="105"/>
  <c r="U16" i="105"/>
  <c r="U17" i="105"/>
  <c r="U18" i="105"/>
  <c r="U19" i="105"/>
  <c r="U20" i="105"/>
  <c r="U21" i="105"/>
  <c r="U22" i="105"/>
  <c r="U9" i="105"/>
  <c r="J10" i="100"/>
  <c r="J11" i="100"/>
  <c r="J12" i="100"/>
  <c r="J13" i="100"/>
  <c r="J14" i="100"/>
  <c r="J15" i="100"/>
  <c r="J16" i="100"/>
  <c r="J17" i="100"/>
  <c r="J18" i="100"/>
  <c r="J19" i="100"/>
  <c r="J9" i="100"/>
  <c r="I20" i="100"/>
  <c r="J10" i="99"/>
  <c r="J11" i="99"/>
  <c r="J12" i="99"/>
  <c r="J13" i="99"/>
  <c r="J14" i="99"/>
  <c r="J15" i="99"/>
  <c r="J16" i="99"/>
  <c r="J17" i="99"/>
  <c r="J18" i="99"/>
  <c r="J19" i="99"/>
  <c r="J9" i="99"/>
  <c r="J10" i="98"/>
  <c r="J11" i="98"/>
  <c r="J12" i="98"/>
  <c r="J13" i="98"/>
  <c r="J14" i="98"/>
  <c r="J15" i="98"/>
  <c r="J16" i="98"/>
  <c r="J17" i="98"/>
  <c r="J18" i="98"/>
  <c r="J19" i="98"/>
  <c r="J9" i="98"/>
  <c r="J17" i="96"/>
  <c r="I17" i="96"/>
  <c r="H17" i="96"/>
  <c r="G17" i="96"/>
  <c r="F17" i="96"/>
  <c r="E17" i="96"/>
  <c r="D17" i="96"/>
  <c r="C17" i="96"/>
  <c r="B17" i="96"/>
  <c r="J10" i="96"/>
  <c r="J11" i="96"/>
  <c r="J12" i="96"/>
  <c r="J13" i="96"/>
  <c r="J14" i="96"/>
  <c r="J15" i="96"/>
  <c r="J16" i="96"/>
  <c r="J9" i="96"/>
  <c r="J10" i="95"/>
  <c r="J11" i="95"/>
  <c r="J12" i="95"/>
  <c r="J13" i="95"/>
  <c r="J14" i="95"/>
  <c r="J15" i="95"/>
  <c r="J16" i="95"/>
  <c r="J9" i="95"/>
  <c r="J10" i="94"/>
  <c r="J11" i="94"/>
  <c r="J12" i="94"/>
  <c r="J13" i="94"/>
  <c r="J14" i="94"/>
  <c r="J15" i="94"/>
  <c r="J16" i="94"/>
  <c r="J9" i="94"/>
  <c r="M10" i="93"/>
  <c r="M11" i="93"/>
  <c r="M12" i="93"/>
  <c r="M13" i="93"/>
  <c r="M14" i="93"/>
  <c r="M15" i="93"/>
  <c r="M16" i="93"/>
  <c r="M17" i="93"/>
  <c r="M18" i="93"/>
  <c r="M19" i="93"/>
  <c r="M20" i="93"/>
  <c r="M21" i="93"/>
  <c r="M22" i="93"/>
  <c r="M9" i="93"/>
  <c r="G10" i="93"/>
  <c r="G11" i="93"/>
  <c r="G12" i="93"/>
  <c r="G13" i="93"/>
  <c r="G14" i="93"/>
  <c r="G15" i="93"/>
  <c r="G16" i="93"/>
  <c r="G17" i="93"/>
  <c r="G18" i="93"/>
  <c r="G19" i="93"/>
  <c r="G20" i="93"/>
  <c r="G21" i="93"/>
  <c r="G22" i="93"/>
  <c r="G9" i="93"/>
  <c r="H9" i="91"/>
  <c r="H10" i="91"/>
  <c r="H11" i="91"/>
  <c r="H12" i="91"/>
  <c r="H13" i="91"/>
  <c r="H8" i="91"/>
  <c r="M9" i="90"/>
  <c r="M10" i="90"/>
  <c r="M11" i="90"/>
  <c r="M12" i="90"/>
  <c r="M13" i="90"/>
  <c r="M8" i="90"/>
  <c r="P9" i="89"/>
  <c r="P10" i="89"/>
  <c r="P11" i="89"/>
  <c r="P12" i="89"/>
  <c r="P13" i="89"/>
  <c r="P8" i="89"/>
  <c r="M10" i="88"/>
  <c r="M11" i="88"/>
  <c r="M12" i="88"/>
  <c r="M13" i="88"/>
  <c r="M14" i="88"/>
  <c r="M15" i="88"/>
  <c r="M16" i="88"/>
  <c r="M17" i="88"/>
  <c r="M18" i="88"/>
  <c r="M19" i="88"/>
  <c r="M20" i="88"/>
  <c r="M21" i="88"/>
  <c r="M22" i="88"/>
  <c r="M9" i="88"/>
  <c r="M10" i="87"/>
  <c r="M11" i="87"/>
  <c r="M12" i="87"/>
  <c r="M13" i="87"/>
  <c r="M14" i="87"/>
  <c r="M15" i="87"/>
  <c r="M16" i="87"/>
  <c r="M17" i="87"/>
  <c r="M18" i="87"/>
  <c r="M19" i="87"/>
  <c r="M20" i="87"/>
  <c r="M21" i="87"/>
  <c r="M22" i="87"/>
  <c r="M9" i="87"/>
  <c r="M10" i="86"/>
  <c r="M11" i="86"/>
  <c r="M12" i="86"/>
  <c r="M13" i="86"/>
  <c r="M14" i="86"/>
  <c r="M15" i="86"/>
  <c r="M16" i="86"/>
  <c r="M17" i="86"/>
  <c r="M18" i="86"/>
  <c r="M19" i="86"/>
  <c r="M20" i="86"/>
  <c r="M21" i="86"/>
  <c r="M22" i="86"/>
  <c r="M9" i="86"/>
  <c r="B20" i="85"/>
  <c r="L20" i="85"/>
  <c r="N10" i="85"/>
  <c r="N11" i="85"/>
  <c r="N12" i="85"/>
  <c r="N13" i="85"/>
  <c r="N14" i="85"/>
  <c r="N15" i="85"/>
  <c r="N16" i="85"/>
  <c r="N17" i="85"/>
  <c r="N18" i="85"/>
  <c r="N19" i="85"/>
  <c r="N9" i="85"/>
  <c r="N10" i="84"/>
  <c r="N11" i="84"/>
  <c r="N12" i="84"/>
  <c r="N13" i="84"/>
  <c r="N14" i="84"/>
  <c r="N15" i="84"/>
  <c r="N16" i="84"/>
  <c r="N17" i="84"/>
  <c r="N18" i="84"/>
  <c r="N19" i="84"/>
  <c r="N9" i="84"/>
  <c r="N10" i="83"/>
  <c r="N11" i="83"/>
  <c r="N12" i="83"/>
  <c r="N13" i="83"/>
  <c r="N14" i="83"/>
  <c r="N15" i="83"/>
  <c r="N16" i="83"/>
  <c r="N17" i="83"/>
  <c r="N18" i="83"/>
  <c r="N19" i="83"/>
  <c r="N9" i="83"/>
  <c r="N10" i="82"/>
  <c r="N11" i="82"/>
  <c r="N12" i="82"/>
  <c r="N13" i="82"/>
  <c r="N14" i="82"/>
  <c r="N15" i="82"/>
  <c r="N16" i="82"/>
  <c r="N17" i="82"/>
  <c r="N18" i="82"/>
  <c r="N19" i="82"/>
  <c r="N20" i="82"/>
  <c r="N21" i="82"/>
  <c r="N22" i="82"/>
  <c r="N9" i="82"/>
  <c r="N10" i="81"/>
  <c r="N11" i="81"/>
  <c r="N12" i="81"/>
  <c r="N13" i="81"/>
  <c r="N14" i="81"/>
  <c r="N15" i="81"/>
  <c r="N16" i="81"/>
  <c r="N17" i="81"/>
  <c r="N18" i="81"/>
  <c r="N19" i="81"/>
  <c r="N20" i="81"/>
  <c r="N21" i="81"/>
  <c r="N22" i="81"/>
  <c r="N9" i="81"/>
  <c r="N10" i="80"/>
  <c r="N11" i="80"/>
  <c r="N12" i="80"/>
  <c r="N13" i="80"/>
  <c r="N14" i="80"/>
  <c r="N15" i="80"/>
  <c r="N16" i="80"/>
  <c r="N17" i="80"/>
  <c r="N18" i="80"/>
  <c r="N19" i="80"/>
  <c r="N20" i="80"/>
  <c r="N21" i="80"/>
  <c r="N22" i="80"/>
  <c r="N9" i="80"/>
  <c r="G10" i="79"/>
  <c r="G11" i="79"/>
  <c r="G12" i="79"/>
  <c r="G13" i="79"/>
  <c r="G14" i="79"/>
  <c r="G15" i="79"/>
  <c r="G16" i="79"/>
  <c r="G17" i="79"/>
  <c r="G18" i="79"/>
  <c r="G19" i="79"/>
  <c r="G20" i="79"/>
  <c r="G9" i="79"/>
  <c r="G10" i="78"/>
  <c r="G11" i="78"/>
  <c r="G12" i="78"/>
  <c r="G13" i="78"/>
  <c r="G14" i="78"/>
  <c r="G15" i="78"/>
  <c r="G16" i="78"/>
  <c r="G17" i="78"/>
  <c r="G18" i="78"/>
  <c r="G19" i="78"/>
  <c r="G20" i="78"/>
  <c r="G9" i="78"/>
  <c r="G10" i="77"/>
  <c r="G11" i="77"/>
  <c r="G12" i="77"/>
  <c r="G13" i="77"/>
  <c r="G14" i="77"/>
  <c r="G15" i="77"/>
  <c r="G16" i="77"/>
  <c r="G17" i="77"/>
  <c r="G18" i="77"/>
  <c r="G19" i="77"/>
  <c r="G20" i="77"/>
  <c r="G9" i="77"/>
  <c r="F23" i="77"/>
  <c r="K10" i="142"/>
  <c r="K11" i="142"/>
  <c r="K12" i="142"/>
  <c r="K13" i="142"/>
  <c r="K14" i="142"/>
  <c r="K15" i="142"/>
  <c r="K16" i="142"/>
  <c r="K17" i="142"/>
  <c r="K18" i="142"/>
  <c r="K19" i="142"/>
  <c r="K20" i="142"/>
  <c r="K9" i="142"/>
  <c r="M9" i="142" s="1"/>
  <c r="M10" i="142"/>
  <c r="M11" i="142"/>
  <c r="M12" i="142"/>
  <c r="M13" i="142"/>
  <c r="M14" i="142"/>
  <c r="M15" i="142"/>
  <c r="M16" i="142"/>
  <c r="M17" i="142"/>
  <c r="M18" i="142"/>
  <c r="M19" i="142"/>
  <c r="M20" i="142"/>
  <c r="J10" i="142"/>
  <c r="B21" i="142"/>
  <c r="J21" i="142"/>
  <c r="J11" i="142"/>
  <c r="J12" i="142"/>
  <c r="J13" i="142"/>
  <c r="J14" i="142"/>
  <c r="J15" i="142"/>
  <c r="J16" i="142"/>
  <c r="J17" i="142"/>
  <c r="J18" i="142"/>
  <c r="J19" i="142"/>
  <c r="J20" i="142"/>
  <c r="J9" i="142"/>
  <c r="G10" i="76"/>
  <c r="G11" i="76"/>
  <c r="G12" i="76"/>
  <c r="G13" i="76"/>
  <c r="G14" i="76"/>
  <c r="G15" i="76"/>
  <c r="G16" i="76"/>
  <c r="G17" i="76"/>
  <c r="G18" i="76"/>
  <c r="G19" i="76"/>
  <c r="G20" i="76"/>
  <c r="G9" i="76"/>
  <c r="G10" i="75"/>
  <c r="G11" i="75"/>
  <c r="G12" i="75"/>
  <c r="G13" i="75"/>
  <c r="G14" i="75"/>
  <c r="G15" i="75"/>
  <c r="G16" i="75"/>
  <c r="G17" i="75"/>
  <c r="G18" i="75"/>
  <c r="G19" i="75"/>
  <c r="G20" i="75"/>
  <c r="G9" i="75"/>
  <c r="G10" i="74"/>
  <c r="G11" i="74"/>
  <c r="G12" i="74"/>
  <c r="G13" i="74"/>
  <c r="G14" i="74"/>
  <c r="G15" i="74"/>
  <c r="G16" i="74"/>
  <c r="G17" i="74"/>
  <c r="G18" i="74"/>
  <c r="G19" i="74"/>
  <c r="G20" i="74"/>
  <c r="G9" i="74"/>
  <c r="G10" i="73"/>
  <c r="G11" i="73"/>
  <c r="G12" i="73"/>
  <c r="G13" i="73"/>
  <c r="G14" i="73"/>
  <c r="G15" i="73"/>
  <c r="G16" i="73"/>
  <c r="G17" i="73"/>
  <c r="G18" i="73"/>
  <c r="G19" i="73"/>
  <c r="G9" i="73"/>
  <c r="G10" i="72"/>
  <c r="G11" i="72"/>
  <c r="G12" i="72"/>
  <c r="G13" i="72"/>
  <c r="G14" i="72"/>
  <c r="G15" i="72"/>
  <c r="G16" i="72"/>
  <c r="G17" i="72"/>
  <c r="G18" i="72"/>
  <c r="G19" i="72"/>
  <c r="G9" i="72"/>
  <c r="G10" i="71"/>
  <c r="G11" i="71"/>
  <c r="G12" i="71"/>
  <c r="G13" i="71"/>
  <c r="G14" i="71"/>
  <c r="G15" i="71"/>
  <c r="G16" i="71"/>
  <c r="G17" i="71"/>
  <c r="G18" i="71"/>
  <c r="G19" i="71"/>
  <c r="G9" i="71"/>
  <c r="G10" i="70"/>
  <c r="G11" i="70"/>
  <c r="G12" i="70"/>
  <c r="G13" i="70"/>
  <c r="G14" i="70"/>
  <c r="G15" i="70"/>
  <c r="G16" i="70"/>
  <c r="G17" i="70"/>
  <c r="G18" i="70"/>
  <c r="G19" i="70"/>
  <c r="G20" i="70"/>
  <c r="G21" i="70"/>
  <c r="G22" i="70"/>
  <c r="G9" i="70"/>
  <c r="G10" i="69"/>
  <c r="G11" i="69"/>
  <c r="G12" i="69"/>
  <c r="G13" i="69"/>
  <c r="G14" i="69"/>
  <c r="G15" i="69"/>
  <c r="G16" i="69"/>
  <c r="G17" i="69"/>
  <c r="G18" i="69"/>
  <c r="G19" i="69"/>
  <c r="G20" i="69"/>
  <c r="G21" i="69"/>
  <c r="G22" i="69"/>
  <c r="G9" i="69"/>
  <c r="G10" i="68"/>
  <c r="G11" i="68"/>
  <c r="G12" i="68"/>
  <c r="G13" i="68"/>
  <c r="G14" i="68"/>
  <c r="G15" i="68"/>
  <c r="G16" i="68"/>
  <c r="G17" i="68"/>
  <c r="G18" i="68"/>
  <c r="G19" i="68"/>
  <c r="G20" i="68"/>
  <c r="G21" i="68"/>
  <c r="G22" i="68"/>
  <c r="G9" i="68"/>
  <c r="G9" i="65"/>
  <c r="G10" i="65"/>
  <c r="G11" i="65"/>
  <c r="G12" i="65"/>
  <c r="G13" i="65"/>
  <c r="G8" i="65"/>
  <c r="M10" i="54"/>
  <c r="M11" i="54"/>
  <c r="M12" i="54"/>
  <c r="M13" i="54"/>
  <c r="M14" i="54"/>
  <c r="M15" i="54"/>
  <c r="M16" i="54"/>
  <c r="M17" i="54"/>
  <c r="M18" i="54"/>
  <c r="M19" i="54"/>
  <c r="M20" i="54"/>
  <c r="M21" i="54"/>
  <c r="M22" i="54"/>
  <c r="M9" i="54"/>
  <c r="K23" i="54"/>
  <c r="M10" i="53"/>
  <c r="M11" i="53"/>
  <c r="M12" i="53"/>
  <c r="M13" i="53"/>
  <c r="M14" i="53"/>
  <c r="M15" i="53"/>
  <c r="M16" i="53"/>
  <c r="M17" i="53"/>
  <c r="M18" i="53"/>
  <c r="M19" i="53"/>
  <c r="M20" i="53"/>
  <c r="M21" i="53"/>
  <c r="M22" i="53"/>
  <c r="M9" i="53"/>
  <c r="M22" i="52"/>
  <c r="M21" i="52"/>
  <c r="M20" i="52"/>
  <c r="M19" i="52"/>
  <c r="M18" i="52"/>
  <c r="M17" i="52"/>
  <c r="M16" i="52"/>
  <c r="M15" i="52"/>
  <c r="M14" i="52"/>
  <c r="M13" i="52"/>
  <c r="M12" i="52"/>
  <c r="M11" i="52"/>
  <c r="M10" i="52"/>
  <c r="M9" i="52"/>
  <c r="J10" i="46"/>
  <c r="J11" i="46"/>
  <c r="J12" i="46"/>
  <c r="J13" i="46"/>
  <c r="J14" i="46"/>
  <c r="J15" i="46"/>
  <c r="J16" i="46"/>
  <c r="J9" i="46"/>
  <c r="J10" i="45"/>
  <c r="J11" i="45"/>
  <c r="J12" i="45"/>
  <c r="J13" i="45"/>
  <c r="J14" i="45"/>
  <c r="J15" i="45"/>
  <c r="J16" i="45"/>
  <c r="J9" i="45"/>
  <c r="J17" i="45"/>
  <c r="J10" i="44"/>
  <c r="J11" i="44"/>
  <c r="J12" i="44"/>
  <c r="J13" i="44"/>
  <c r="J14" i="44"/>
  <c r="J15" i="44"/>
  <c r="J16" i="44"/>
  <c r="J9" i="44"/>
  <c r="F10" i="40"/>
  <c r="F11" i="40"/>
  <c r="F12" i="40"/>
  <c r="F13" i="40"/>
  <c r="F14" i="40"/>
  <c r="F15" i="40"/>
  <c r="F16" i="40"/>
  <c r="F17" i="40"/>
  <c r="F18" i="40"/>
  <c r="F19" i="40"/>
  <c r="F9" i="40"/>
  <c r="F10" i="39"/>
  <c r="F11" i="39"/>
  <c r="F12" i="39"/>
  <c r="F13" i="39"/>
  <c r="F14" i="39"/>
  <c r="F15" i="39"/>
  <c r="F16" i="39"/>
  <c r="F17" i="39"/>
  <c r="F18" i="39"/>
  <c r="F19" i="39"/>
  <c r="F9" i="39"/>
  <c r="F10" i="38"/>
  <c r="F11" i="38"/>
  <c r="F12" i="38"/>
  <c r="F13" i="38"/>
  <c r="F14" i="38"/>
  <c r="F15" i="38"/>
  <c r="F16" i="38"/>
  <c r="F17" i="38"/>
  <c r="F18" i="38"/>
  <c r="F19" i="38"/>
  <c r="F9" i="38"/>
  <c r="E20" i="38"/>
  <c r="G10" i="37"/>
  <c r="G11" i="37"/>
  <c r="G12" i="37"/>
  <c r="G13" i="37"/>
  <c r="G14" i="37"/>
  <c r="G15" i="37"/>
  <c r="G16" i="37"/>
  <c r="G17" i="37"/>
  <c r="G18" i="37"/>
  <c r="G19" i="37"/>
  <c r="G20" i="37"/>
  <c r="G21" i="37"/>
  <c r="G22" i="37"/>
  <c r="G9" i="37"/>
  <c r="G10" i="36"/>
  <c r="G11" i="36"/>
  <c r="G12" i="36"/>
  <c r="G13" i="36"/>
  <c r="G14" i="36"/>
  <c r="G15" i="36"/>
  <c r="G16" i="36"/>
  <c r="G17" i="36"/>
  <c r="G18" i="36"/>
  <c r="G19" i="36"/>
  <c r="G20" i="36"/>
  <c r="G21" i="36"/>
  <c r="G22" i="36"/>
  <c r="G9" i="36"/>
  <c r="G23" i="36"/>
  <c r="G10" i="35"/>
  <c r="G11" i="35"/>
  <c r="G12" i="35"/>
  <c r="G13" i="35"/>
  <c r="G14" i="35"/>
  <c r="G15" i="35"/>
  <c r="G16" i="35"/>
  <c r="G17" i="35"/>
  <c r="G18" i="35"/>
  <c r="G19" i="35"/>
  <c r="G20" i="35"/>
  <c r="G21" i="35"/>
  <c r="G22" i="35"/>
  <c r="G9" i="35"/>
  <c r="G23" i="35"/>
  <c r="G10" i="34"/>
  <c r="G11" i="34"/>
  <c r="G12" i="34"/>
  <c r="G13" i="34"/>
  <c r="G14" i="34"/>
  <c r="G15" i="34"/>
  <c r="G16" i="34"/>
  <c r="G17" i="34"/>
  <c r="G18" i="34"/>
  <c r="G19" i="34"/>
  <c r="G20" i="34"/>
  <c r="G21" i="34"/>
  <c r="G22" i="34"/>
  <c r="G9" i="34"/>
  <c r="G10" i="33"/>
  <c r="G11" i="33"/>
  <c r="G12" i="33"/>
  <c r="G13" i="33"/>
  <c r="G14" i="33"/>
  <c r="G15" i="33"/>
  <c r="G16" i="33"/>
  <c r="G17" i="33"/>
  <c r="G18" i="33"/>
  <c r="G19" i="33"/>
  <c r="G20" i="33"/>
  <c r="G21" i="33"/>
  <c r="G22" i="33"/>
  <c r="G9" i="33"/>
  <c r="D23" i="33"/>
  <c r="G10" i="32"/>
  <c r="G11" i="32"/>
  <c r="G12" i="32"/>
  <c r="G13" i="32"/>
  <c r="G14" i="32"/>
  <c r="G15" i="32"/>
  <c r="G16" i="32"/>
  <c r="G17" i="32"/>
  <c r="G18" i="32"/>
  <c r="G19" i="32"/>
  <c r="G20" i="32"/>
  <c r="G21" i="32"/>
  <c r="G22" i="32"/>
  <c r="G9" i="32"/>
  <c r="F23" i="32"/>
  <c r="E23" i="32"/>
  <c r="D23" i="32"/>
  <c r="C23" i="32"/>
  <c r="B23" i="32"/>
  <c r="M10" i="31"/>
  <c r="M11" i="31"/>
  <c r="M12" i="31"/>
  <c r="M13" i="31"/>
  <c r="M14" i="31"/>
  <c r="M15" i="31"/>
  <c r="M16" i="31"/>
  <c r="M17" i="31"/>
  <c r="M18" i="31"/>
  <c r="M19" i="31"/>
  <c r="M20" i="31"/>
  <c r="M21" i="31"/>
  <c r="M22" i="31"/>
  <c r="M9" i="31"/>
  <c r="L23" i="31"/>
  <c r="K23" i="31"/>
  <c r="J23" i="31"/>
  <c r="I23" i="31"/>
  <c r="H23" i="31"/>
  <c r="G23" i="31"/>
  <c r="F23" i="31"/>
  <c r="E23" i="31"/>
  <c r="D23" i="31"/>
  <c r="C23" i="31"/>
  <c r="B23" i="31"/>
  <c r="M10" i="30"/>
  <c r="M11" i="30"/>
  <c r="M12" i="30"/>
  <c r="M13" i="30"/>
  <c r="M14" i="30"/>
  <c r="M15" i="30"/>
  <c r="M16" i="30"/>
  <c r="M17" i="30"/>
  <c r="M18" i="30"/>
  <c r="M19" i="30"/>
  <c r="M20" i="30"/>
  <c r="M21" i="30"/>
  <c r="M22" i="30"/>
  <c r="M9" i="30"/>
  <c r="L23" i="30"/>
  <c r="K23" i="30"/>
  <c r="J23" i="30"/>
  <c r="I23" i="30"/>
  <c r="H23" i="30"/>
  <c r="G23" i="30"/>
  <c r="F23" i="30"/>
  <c r="E23" i="30"/>
  <c r="D23" i="30"/>
  <c r="C23" i="30"/>
  <c r="B23" i="30"/>
  <c r="B23" i="29"/>
  <c r="M10" i="29"/>
  <c r="M11" i="29"/>
  <c r="M12" i="29"/>
  <c r="M13" i="29"/>
  <c r="M14" i="29"/>
  <c r="M15" i="29"/>
  <c r="M16" i="29"/>
  <c r="M17" i="29"/>
  <c r="M18" i="29"/>
  <c r="M19" i="29"/>
  <c r="M20" i="29"/>
  <c r="M21" i="29"/>
  <c r="M22" i="29"/>
  <c r="M9" i="29"/>
  <c r="K21" i="142" l="1"/>
  <c r="M9" i="28"/>
  <c r="M10" i="28"/>
  <c r="M11" i="28"/>
  <c r="M12" i="28"/>
  <c r="M13" i="28"/>
  <c r="M8" i="28"/>
  <c r="M14" i="28"/>
  <c r="P9" i="27"/>
  <c r="P10" i="27"/>
  <c r="P11" i="27"/>
  <c r="P12" i="27"/>
  <c r="P13" i="27"/>
  <c r="P8" i="27"/>
  <c r="H9" i="25"/>
  <c r="H10" i="25"/>
  <c r="H11" i="25"/>
  <c r="H12" i="25"/>
  <c r="H13" i="25"/>
  <c r="F19" i="24"/>
  <c r="E19" i="24"/>
  <c r="D19" i="24"/>
  <c r="C19" i="24"/>
  <c r="B19" i="24"/>
  <c r="B14" i="65"/>
  <c r="B17" i="46" l="1"/>
  <c r="C17" i="46"/>
  <c r="D17" i="46"/>
  <c r="E17" i="46"/>
  <c r="F17" i="46"/>
  <c r="G17" i="46"/>
  <c r="H17" i="46"/>
  <c r="I17" i="46"/>
  <c r="J17" i="46"/>
  <c r="B18" i="43"/>
  <c r="C18" i="43"/>
  <c r="D18" i="43"/>
  <c r="E18" i="43"/>
  <c r="G23" i="32"/>
  <c r="M23" i="31"/>
  <c r="M23" i="30"/>
  <c r="C23" i="29"/>
  <c r="D23" i="29"/>
  <c r="E23" i="29"/>
  <c r="F23" i="29"/>
  <c r="G23" i="29"/>
  <c r="H23" i="29"/>
  <c r="I23" i="29"/>
  <c r="J23" i="29"/>
  <c r="K23" i="29"/>
  <c r="L23" i="29"/>
  <c r="M23" i="29"/>
  <c r="B14" i="28"/>
  <c r="C14" i="28"/>
  <c r="D14" i="28"/>
  <c r="E14" i="28"/>
  <c r="F14" i="28"/>
  <c r="G14" i="28"/>
  <c r="H14" i="28"/>
  <c r="I14" i="28"/>
  <c r="J14" i="28"/>
  <c r="K14" i="28"/>
  <c r="L14" i="28"/>
  <c r="B14" i="27"/>
  <c r="C14" i="27"/>
  <c r="D14" i="27"/>
  <c r="E14" i="27"/>
  <c r="F14" i="27"/>
  <c r="G14" i="27"/>
  <c r="H14" i="27"/>
  <c r="I14" i="27"/>
  <c r="J14" i="27"/>
  <c r="K14" i="27"/>
  <c r="L14" i="27"/>
  <c r="M14" i="27"/>
  <c r="N14" i="27"/>
  <c r="O14" i="27"/>
  <c r="P14" i="27"/>
  <c r="B17" i="22"/>
  <c r="C17" i="22"/>
  <c r="D17" i="22"/>
  <c r="B23" i="54"/>
  <c r="C23" i="54"/>
  <c r="D23" i="54"/>
  <c r="E23" i="54"/>
  <c r="F23" i="54"/>
  <c r="G23" i="54"/>
  <c r="H23" i="54"/>
  <c r="I23" i="54"/>
  <c r="J23" i="54"/>
  <c r="L23" i="54"/>
  <c r="M23" i="54"/>
  <c r="B23" i="53"/>
  <c r="C23" i="53"/>
  <c r="D23" i="53"/>
  <c r="E23" i="53"/>
  <c r="F23" i="53"/>
  <c r="G23" i="53"/>
  <c r="H23" i="53"/>
  <c r="I23" i="53"/>
  <c r="J23" i="53"/>
  <c r="K23" i="53"/>
  <c r="L23" i="53"/>
  <c r="M23" i="53"/>
  <c r="B23" i="52"/>
  <c r="C23" i="52"/>
  <c r="D23" i="52"/>
  <c r="E23" i="52"/>
  <c r="F23" i="52"/>
  <c r="G23" i="52"/>
  <c r="H23" i="52"/>
  <c r="I23" i="52"/>
  <c r="J23" i="52"/>
  <c r="K23" i="52"/>
  <c r="L23" i="52"/>
  <c r="M23" i="52"/>
  <c r="B17" i="45"/>
  <c r="C17" i="45"/>
  <c r="D17" i="45"/>
  <c r="E17" i="45"/>
  <c r="F17" i="45"/>
  <c r="G17" i="45"/>
  <c r="H17" i="45"/>
  <c r="I17" i="45"/>
  <c r="B17" i="44"/>
  <c r="C17" i="44"/>
  <c r="D17" i="44"/>
  <c r="E17" i="44"/>
  <c r="F17" i="44"/>
  <c r="G17" i="44"/>
  <c r="H17" i="44"/>
  <c r="I17" i="44"/>
  <c r="J17" i="44"/>
  <c r="B18" i="42"/>
  <c r="C18" i="42"/>
  <c r="D18" i="42"/>
  <c r="E18" i="42"/>
  <c r="B18" i="41"/>
  <c r="C18" i="41"/>
  <c r="D18" i="41"/>
  <c r="E18" i="41"/>
  <c r="B20" i="40"/>
  <c r="C20" i="40"/>
  <c r="D20" i="40"/>
  <c r="E20" i="40"/>
  <c r="F20" i="40"/>
  <c r="B20" i="39"/>
  <c r="C20" i="39"/>
  <c r="D20" i="39"/>
  <c r="E20" i="39"/>
  <c r="F20" i="39"/>
  <c r="B20" i="38"/>
  <c r="C20" i="38"/>
  <c r="D20" i="38"/>
  <c r="F20" i="38"/>
  <c r="B23" i="37"/>
  <c r="C23" i="37"/>
  <c r="D23" i="37"/>
  <c r="E23" i="37"/>
  <c r="F23" i="37"/>
  <c r="G23" i="37"/>
  <c r="B23" i="36"/>
  <c r="C23" i="36"/>
  <c r="D23" i="36"/>
  <c r="E23" i="36"/>
  <c r="F23" i="36"/>
  <c r="B23" i="35"/>
  <c r="C23" i="35"/>
  <c r="D23" i="35"/>
  <c r="E23" i="35"/>
  <c r="F23" i="35"/>
  <c r="B23" i="34"/>
  <c r="C23" i="34"/>
  <c r="D23" i="34"/>
  <c r="E23" i="34"/>
  <c r="F23" i="34"/>
  <c r="G23" i="34"/>
  <c r="B23" i="33"/>
  <c r="C23" i="33"/>
  <c r="E23" i="33"/>
  <c r="F23" i="33"/>
  <c r="G23" i="33"/>
  <c r="G19" i="24"/>
  <c r="B33" i="50" l="1"/>
  <c r="B34" i="50"/>
  <c r="B35" i="50"/>
  <c r="C36" i="50"/>
  <c r="C35" i="50"/>
  <c r="C34" i="50"/>
  <c r="C32" i="50"/>
  <c r="C30" i="50"/>
  <c r="C29" i="50"/>
  <c r="C28" i="50"/>
  <c r="C27" i="50"/>
  <c r="C26" i="50"/>
  <c r="B28" i="50"/>
  <c r="B43" i="50" s="1"/>
  <c r="B29" i="50"/>
  <c r="B42" i="50" s="1"/>
  <c r="E25" i="65" l="1"/>
  <c r="D25" i="65"/>
  <c r="C25" i="65"/>
  <c r="B25" i="65"/>
  <c r="A25" i="65"/>
  <c r="C14" i="139" l="1"/>
  <c r="B14" i="139"/>
  <c r="D14" i="139" l="1"/>
  <c r="C21" i="142"/>
  <c r="D21" i="142"/>
  <c r="E21" i="142"/>
  <c r="F21" i="142"/>
  <c r="G21" i="142"/>
  <c r="H21" i="142"/>
  <c r="I21" i="142"/>
  <c r="L21" i="142"/>
  <c r="M21" i="142" l="1"/>
  <c r="F19" i="140" l="1"/>
  <c r="H19" i="140"/>
  <c r="C21" i="79"/>
  <c r="D21" i="79"/>
  <c r="E21" i="79"/>
  <c r="F21" i="79"/>
  <c r="C21" i="78"/>
  <c r="D21" i="78"/>
  <c r="E21" i="78"/>
  <c r="F21" i="78"/>
  <c r="C21" i="77"/>
  <c r="D21" i="77"/>
  <c r="E21" i="77"/>
  <c r="C21" i="76"/>
  <c r="D21" i="76"/>
  <c r="E21" i="76"/>
  <c r="F21" i="76"/>
  <c r="C21" i="75"/>
  <c r="D21" i="75"/>
  <c r="E21" i="75"/>
  <c r="F21" i="75"/>
  <c r="G21" i="75"/>
  <c r="G22" i="75" s="1"/>
  <c r="C21" i="74"/>
  <c r="D21" i="74"/>
  <c r="E21" i="74"/>
  <c r="F21" i="74"/>
  <c r="G21" i="74"/>
  <c r="G22" i="74" s="1"/>
  <c r="B21" i="74"/>
  <c r="E19" i="140"/>
  <c r="B23" i="68"/>
  <c r="M23" i="109"/>
  <c r="C23" i="109"/>
  <c r="D23" i="109"/>
  <c r="E23" i="109"/>
  <c r="F23" i="109"/>
  <c r="G23" i="109"/>
  <c r="H23" i="109"/>
  <c r="I23" i="109"/>
  <c r="J23" i="109"/>
  <c r="K23" i="109"/>
  <c r="L23" i="109"/>
  <c r="B23" i="109"/>
  <c r="U23" i="105"/>
  <c r="K23" i="105"/>
  <c r="L23" i="105"/>
  <c r="M23" i="105"/>
  <c r="N23" i="105"/>
  <c r="O23" i="105"/>
  <c r="P23" i="105"/>
  <c r="Q23" i="105"/>
  <c r="R23" i="105"/>
  <c r="S23" i="105"/>
  <c r="T23" i="105"/>
  <c r="J23" i="105"/>
  <c r="C22" i="75" l="1"/>
  <c r="D22" i="75"/>
  <c r="F22" i="75"/>
  <c r="E22" i="74"/>
  <c r="D22" i="74"/>
  <c r="C22" i="74"/>
  <c r="F22" i="74"/>
  <c r="E22" i="75"/>
  <c r="G19" i="140"/>
  <c r="D19" i="140"/>
  <c r="C19" i="140"/>
  <c r="G21" i="79"/>
  <c r="G22" i="79" s="1"/>
  <c r="G21" i="78"/>
  <c r="G22" i="78" s="1"/>
  <c r="D22" i="79" l="1"/>
  <c r="F22" i="79"/>
  <c r="E22" i="79"/>
  <c r="C22" i="79"/>
  <c r="D22" i="78"/>
  <c r="E22" i="78"/>
  <c r="F22" i="78"/>
  <c r="C22" i="78"/>
  <c r="G21" i="77"/>
  <c r="B21" i="76"/>
  <c r="G21" i="76"/>
  <c r="I11" i="140"/>
  <c r="I10" i="140"/>
  <c r="I9" i="140"/>
  <c r="I8" i="140"/>
  <c r="F20" i="73"/>
  <c r="F20" i="72"/>
  <c r="G20" i="71"/>
  <c r="F20" i="71"/>
  <c r="G23" i="69"/>
  <c r="G22" i="77" l="1"/>
  <c r="C22" i="77"/>
  <c r="F22" i="77"/>
  <c r="E22" i="77"/>
  <c r="D22" i="77"/>
  <c r="D22" i="76"/>
  <c r="C22" i="76"/>
  <c r="E22" i="76"/>
  <c r="F22" i="76"/>
  <c r="B22" i="76"/>
  <c r="G14" i="65" l="1"/>
  <c r="E26" i="65"/>
  <c r="F23" i="70"/>
  <c r="F23" i="69"/>
  <c r="F23" i="68"/>
  <c r="F15" i="65" l="1"/>
  <c r="H8" i="65"/>
  <c r="C34" i="103"/>
  <c r="C28" i="103"/>
  <c r="B43" i="103"/>
  <c r="B42" i="103"/>
  <c r="B41" i="103"/>
  <c r="B40" i="103"/>
  <c r="B34" i="103"/>
  <c r="B33" i="103"/>
  <c r="B32" i="103"/>
  <c r="B31" i="103"/>
  <c r="B30" i="103"/>
  <c r="B29" i="103"/>
  <c r="B28" i="103"/>
  <c r="C43" i="103"/>
  <c r="C42" i="103"/>
  <c r="C41" i="103"/>
  <c r="C40" i="103"/>
  <c r="C33" i="103"/>
  <c r="C32" i="103"/>
  <c r="C31" i="103"/>
  <c r="C30" i="103"/>
  <c r="C29" i="103"/>
  <c r="C44" i="103" l="1"/>
  <c r="C35" i="103" s="1"/>
  <c r="C22" i="101"/>
  <c r="D22" i="101"/>
  <c r="E22" i="101"/>
  <c r="F22" i="101"/>
  <c r="G22" i="101"/>
  <c r="H22" i="101"/>
  <c r="I22" i="101"/>
  <c r="B22" i="101"/>
  <c r="C47" i="50" l="1"/>
  <c r="B47" i="50"/>
  <c r="C44" i="50"/>
  <c r="B27" i="50"/>
  <c r="B44" i="50" s="1"/>
  <c r="C45" i="50"/>
  <c r="B45" i="50" l="1"/>
  <c r="C36" i="103"/>
  <c r="B23" i="126" l="1"/>
  <c r="B22" i="91"/>
  <c r="B28" i="96"/>
  <c r="K38" i="105"/>
  <c r="K29" i="105"/>
  <c r="B44" i="103" l="1"/>
  <c r="B35" i="103" s="1"/>
  <c r="B36" i="103" s="1"/>
  <c r="D36" i="103" s="1"/>
  <c r="C26" i="65"/>
  <c r="B26" i="65"/>
  <c r="A26" i="65"/>
  <c r="B30" i="65"/>
  <c r="J8" i="42"/>
  <c r="I8" i="42"/>
  <c r="I9" i="41"/>
  <c r="J8" i="41"/>
  <c r="J9" i="41"/>
  <c r="I8" i="41"/>
  <c r="N20" i="83" l="1"/>
  <c r="M20" i="83"/>
  <c r="L20" i="83"/>
  <c r="K20" i="83"/>
  <c r="J20" i="83"/>
  <c r="I20" i="83"/>
  <c r="H20" i="83"/>
  <c r="G20" i="83"/>
  <c r="F20" i="83"/>
  <c r="E20" i="83"/>
  <c r="D20" i="83"/>
  <c r="C20" i="83"/>
  <c r="B20" i="83"/>
  <c r="N20" i="84"/>
  <c r="M20" i="84"/>
  <c r="L20" i="84"/>
  <c r="K20" i="84"/>
  <c r="J20" i="84"/>
  <c r="I20" i="84"/>
  <c r="H20" i="84"/>
  <c r="G20" i="84"/>
  <c r="F20" i="84"/>
  <c r="E20" i="84"/>
  <c r="D20" i="84"/>
  <c r="C20" i="84"/>
  <c r="B20" i="84"/>
  <c r="I17" i="140"/>
  <c r="I16" i="140"/>
  <c r="G20" i="73"/>
  <c r="H19" i="73" s="1"/>
  <c r="E20" i="73"/>
  <c r="D20" i="73"/>
  <c r="C20" i="73"/>
  <c r="B20" i="73"/>
  <c r="H20" i="75"/>
  <c r="B21" i="75"/>
  <c r="H18" i="71"/>
  <c r="E20" i="71"/>
  <c r="D20" i="71"/>
  <c r="C20" i="71"/>
  <c r="B20" i="71"/>
  <c r="H11" i="73" l="1"/>
  <c r="H9" i="73"/>
  <c r="H12" i="73"/>
  <c r="H10" i="73"/>
  <c r="H14" i="73"/>
  <c r="H16" i="73"/>
  <c r="H13" i="73"/>
  <c r="H18" i="73"/>
  <c r="H15" i="73"/>
  <c r="H10" i="75"/>
  <c r="H9" i="75"/>
  <c r="B22" i="75"/>
  <c r="H18" i="75"/>
  <c r="H12" i="71"/>
  <c r="H19" i="71"/>
  <c r="H17" i="73"/>
  <c r="H17" i="75"/>
  <c r="H13" i="75"/>
  <c r="H14" i="75"/>
  <c r="H11" i="75"/>
  <c r="H15" i="75"/>
  <c r="H19" i="75"/>
  <c r="H12" i="75"/>
  <c r="H16" i="75"/>
  <c r="H11" i="71"/>
  <c r="H16" i="71"/>
  <c r="H15" i="71"/>
  <c r="H9" i="71"/>
  <c r="H13" i="71"/>
  <c r="H17" i="71"/>
  <c r="H10" i="71"/>
  <c r="H14" i="71"/>
  <c r="H20" i="73" l="1"/>
  <c r="H21" i="75"/>
  <c r="H20" i="71"/>
  <c r="B21" i="78"/>
  <c r="H20" i="78" l="1"/>
  <c r="B22" i="78"/>
  <c r="H9" i="78"/>
  <c r="H14" i="78"/>
  <c r="H11" i="78"/>
  <c r="H15" i="78"/>
  <c r="H19" i="78"/>
  <c r="H13" i="78"/>
  <c r="H17" i="78"/>
  <c r="H10" i="78"/>
  <c r="H18" i="78"/>
  <c r="H12" i="78"/>
  <c r="H16" i="78"/>
  <c r="H21" i="78" l="1"/>
  <c r="C26" i="46"/>
  <c r="C27" i="46"/>
  <c r="C30" i="46"/>
  <c r="C31" i="46"/>
  <c r="K16" i="46"/>
  <c r="I18" i="45"/>
  <c r="K10" i="44"/>
  <c r="F24" i="35"/>
  <c r="C24" i="33"/>
  <c r="C28" i="126"/>
  <c r="B26" i="126"/>
  <c r="C27" i="126"/>
  <c r="B25" i="126"/>
  <c r="C26" i="126"/>
  <c r="B24" i="126"/>
  <c r="C25" i="126"/>
  <c r="E25" i="14"/>
  <c r="E26" i="14"/>
  <c r="E27" i="14"/>
  <c r="E28" i="14"/>
  <c r="E29" i="14"/>
  <c r="E30" i="14"/>
  <c r="E31" i="14"/>
  <c r="E32" i="14"/>
  <c r="E33" i="14"/>
  <c r="E24" i="14"/>
  <c r="K10" i="46"/>
  <c r="K11" i="46"/>
  <c r="K9" i="46"/>
  <c r="K9" i="45"/>
  <c r="K17" i="45"/>
  <c r="E20" i="122"/>
  <c r="I23" i="81"/>
  <c r="F23" i="80"/>
  <c r="K8" i="56"/>
  <c r="K8" i="55"/>
  <c r="I18" i="46"/>
  <c r="C18" i="46"/>
  <c r="B18" i="46"/>
  <c r="F24" i="32"/>
  <c r="K15" i="56"/>
  <c r="K10" i="56"/>
  <c r="K9" i="56"/>
  <c r="C42" i="115"/>
  <c r="C41" i="115"/>
  <c r="C40" i="115"/>
  <c r="C39" i="115"/>
  <c r="C38" i="115"/>
  <c r="C37" i="115"/>
  <c r="C36" i="115"/>
  <c r="C35" i="115"/>
  <c r="C34" i="115"/>
  <c r="C33" i="115"/>
  <c r="C32" i="115"/>
  <c r="C42" i="113"/>
  <c r="C41" i="113"/>
  <c r="C33" i="113"/>
  <c r="C34" i="113"/>
  <c r="C35" i="113"/>
  <c r="C36" i="113"/>
  <c r="C37" i="113"/>
  <c r="C38" i="113"/>
  <c r="C39" i="113"/>
  <c r="C40" i="113"/>
  <c r="C32" i="113"/>
  <c r="M23" i="111"/>
  <c r="C42" i="111"/>
  <c r="C32" i="111"/>
  <c r="B23" i="80"/>
  <c r="B27" i="63"/>
  <c r="C27" i="63"/>
  <c r="B30" i="50"/>
  <c r="B50" i="50"/>
  <c r="B49" i="50"/>
  <c r="B48" i="50"/>
  <c r="B52" i="50"/>
  <c r="C33" i="46"/>
  <c r="B27" i="46"/>
  <c r="B28" i="46"/>
  <c r="B29" i="46"/>
  <c r="B30" i="46"/>
  <c r="B31" i="46"/>
  <c r="B32" i="46"/>
  <c r="B33" i="46"/>
  <c r="B26" i="46"/>
  <c r="B46" i="50" l="1"/>
  <c r="B55" i="50" s="1"/>
  <c r="B37" i="50"/>
  <c r="E24" i="32"/>
  <c r="E24" i="34"/>
  <c r="F24" i="34"/>
  <c r="D24" i="34"/>
  <c r="D18" i="44"/>
  <c r="D24" i="32"/>
  <c r="F18" i="44"/>
  <c r="G18" i="45"/>
  <c r="H18" i="46"/>
  <c r="E24" i="35"/>
  <c r="H18" i="45"/>
  <c r="C18" i="44"/>
  <c r="B24" i="34"/>
  <c r="B21" i="39"/>
  <c r="K11" i="44"/>
  <c r="C24" i="32"/>
  <c r="C24" i="34"/>
  <c r="B24" i="36"/>
  <c r="B21" i="38"/>
  <c r="F18" i="45"/>
  <c r="B18" i="45"/>
  <c r="K13" i="46"/>
  <c r="B24" i="35"/>
  <c r="B18" i="44"/>
  <c r="C18" i="45"/>
  <c r="D18" i="46"/>
  <c r="K12" i="46"/>
  <c r="C24" i="35"/>
  <c r="F18" i="46"/>
  <c r="K14" i="46"/>
  <c r="B24" i="33"/>
  <c r="B24" i="37"/>
  <c r="D18" i="45"/>
  <c r="E18" i="46"/>
  <c r="C32" i="46"/>
  <c r="G18" i="46"/>
  <c r="K15" i="46"/>
  <c r="B24" i="32"/>
  <c r="D24" i="35"/>
  <c r="E18" i="45"/>
  <c r="K12" i="44"/>
  <c r="E18" i="44"/>
  <c r="K14" i="44"/>
  <c r="C29" i="46"/>
  <c r="G18" i="44"/>
  <c r="C28" i="46"/>
  <c r="I18" i="44"/>
  <c r="K16" i="44"/>
  <c r="K13" i="44"/>
  <c r="K15" i="44"/>
  <c r="H18" i="44"/>
  <c r="K9" i="44"/>
  <c r="I15" i="140"/>
  <c r="I13" i="140"/>
  <c r="I14" i="140"/>
  <c r="I12" i="140"/>
  <c r="C43" i="115"/>
  <c r="C43" i="113"/>
  <c r="A33" i="14"/>
  <c r="B33" i="14"/>
  <c r="C33" i="14"/>
  <c r="D33" i="14"/>
  <c r="D32" i="14"/>
  <c r="C32" i="14"/>
  <c r="B32" i="14"/>
  <c r="A32" i="14"/>
  <c r="D31" i="14"/>
  <c r="C31" i="14"/>
  <c r="B31" i="14"/>
  <c r="A31" i="14"/>
  <c r="D30" i="14"/>
  <c r="C30" i="14"/>
  <c r="B30" i="14"/>
  <c r="A30" i="14"/>
  <c r="D29" i="14"/>
  <c r="C29" i="14"/>
  <c r="B29" i="14"/>
  <c r="A29" i="14"/>
  <c r="D28" i="14"/>
  <c r="C28" i="14"/>
  <c r="B28" i="14"/>
  <c r="A28" i="14"/>
  <c r="D27" i="14"/>
  <c r="C27" i="14"/>
  <c r="B27" i="14"/>
  <c r="A27" i="14"/>
  <c r="D26" i="14"/>
  <c r="C26" i="14"/>
  <c r="B26" i="14"/>
  <c r="A26" i="14"/>
  <c r="D25" i="14"/>
  <c r="C25" i="14"/>
  <c r="B25" i="14"/>
  <c r="A25" i="14"/>
  <c r="D24" i="14"/>
  <c r="C24" i="14"/>
  <c r="B24" i="14"/>
  <c r="A24" i="14"/>
  <c r="C20" i="122"/>
  <c r="D20" i="122"/>
  <c r="F20" i="122"/>
  <c r="G20" i="122"/>
  <c r="H20" i="122"/>
  <c r="I20" i="122"/>
  <c r="J20" i="122"/>
  <c r="K20" i="122"/>
  <c r="B20" i="119"/>
  <c r="G20" i="119"/>
  <c r="F20" i="119"/>
  <c r="C20" i="119"/>
  <c r="H20" i="119"/>
  <c r="I20" i="119"/>
  <c r="E20" i="119"/>
  <c r="D20" i="119"/>
  <c r="B20" i="118"/>
  <c r="C20" i="118"/>
  <c r="D20" i="118"/>
  <c r="E20" i="118"/>
  <c r="F20" i="118"/>
  <c r="G20" i="118"/>
  <c r="H20" i="118"/>
  <c r="I20" i="118"/>
  <c r="B20" i="117"/>
  <c r="C20" i="117"/>
  <c r="D20" i="117"/>
  <c r="E20" i="117"/>
  <c r="F20" i="117"/>
  <c r="G20" i="117"/>
  <c r="H20" i="117"/>
  <c r="I20" i="117"/>
  <c r="D23" i="115"/>
  <c r="B34" i="115" s="1"/>
  <c r="E23" i="115"/>
  <c r="B35" i="115" s="1"/>
  <c r="F23" i="115"/>
  <c r="B36" i="115" s="1"/>
  <c r="G23" i="115"/>
  <c r="H23" i="115"/>
  <c r="B38" i="115" s="1"/>
  <c r="I23" i="115"/>
  <c r="B39" i="115" s="1"/>
  <c r="J23" i="115"/>
  <c r="B40" i="115" s="1"/>
  <c r="K23" i="115"/>
  <c r="B41" i="115" s="1"/>
  <c r="L23" i="115"/>
  <c r="B42" i="115" s="1"/>
  <c r="M23" i="115"/>
  <c r="C23" i="115"/>
  <c r="B33" i="115" s="1"/>
  <c r="B23" i="115"/>
  <c r="B32" i="115" s="1"/>
  <c r="C23" i="113"/>
  <c r="B33" i="113" s="1"/>
  <c r="D23" i="113"/>
  <c r="E23" i="113"/>
  <c r="F23" i="113"/>
  <c r="G23" i="113"/>
  <c r="H23" i="113"/>
  <c r="I23" i="113"/>
  <c r="J23" i="113"/>
  <c r="K23" i="113"/>
  <c r="B41" i="113" s="1"/>
  <c r="L23" i="113"/>
  <c r="B42" i="113" s="1"/>
  <c r="M23" i="113"/>
  <c r="C23" i="111"/>
  <c r="D23" i="111"/>
  <c r="E23" i="111"/>
  <c r="F23" i="111"/>
  <c r="G23" i="111"/>
  <c r="H23" i="111"/>
  <c r="I23" i="111"/>
  <c r="J23" i="111"/>
  <c r="K23" i="111"/>
  <c r="L23" i="111"/>
  <c r="B42" i="111" s="1"/>
  <c r="B23" i="107"/>
  <c r="C23" i="107"/>
  <c r="B23" i="93"/>
  <c r="C23" i="93"/>
  <c r="D23" i="93"/>
  <c r="E23" i="93"/>
  <c r="F23" i="93"/>
  <c r="H23" i="93"/>
  <c r="I23" i="93"/>
  <c r="J23" i="93"/>
  <c r="K23" i="93"/>
  <c r="L23" i="93"/>
  <c r="M23" i="93"/>
  <c r="G23" i="93"/>
  <c r="B14" i="91"/>
  <c r="C14" i="91"/>
  <c r="D14" i="91"/>
  <c r="B14" i="90"/>
  <c r="C14" i="90"/>
  <c r="D14" i="90"/>
  <c r="E14" i="90"/>
  <c r="F14" i="90"/>
  <c r="G14" i="90"/>
  <c r="H14" i="90"/>
  <c r="I14" i="90"/>
  <c r="J14" i="90"/>
  <c r="K14" i="90"/>
  <c r="L14" i="90"/>
  <c r="M14" i="90"/>
  <c r="P14" i="89"/>
  <c r="B14" i="89"/>
  <c r="C14" i="89"/>
  <c r="D14" i="89"/>
  <c r="E14" i="89"/>
  <c r="F14" i="89"/>
  <c r="G14" i="89"/>
  <c r="H14" i="89"/>
  <c r="I14" i="89"/>
  <c r="J14" i="89"/>
  <c r="K14" i="89"/>
  <c r="L14" i="89"/>
  <c r="M14" i="89"/>
  <c r="N14" i="89"/>
  <c r="O14" i="89"/>
  <c r="G23" i="88"/>
  <c r="B23" i="88"/>
  <c r="J23" i="88"/>
  <c r="F23" i="88"/>
  <c r="K23" i="88"/>
  <c r="C23" i="88"/>
  <c r="I23" i="88"/>
  <c r="E23" i="88"/>
  <c r="L23" i="88"/>
  <c r="H23" i="88"/>
  <c r="D23" i="88"/>
  <c r="M23" i="88"/>
  <c r="B23" i="87"/>
  <c r="C23" i="87"/>
  <c r="D23" i="87"/>
  <c r="E23" i="87"/>
  <c r="F23" i="87"/>
  <c r="G23" i="87"/>
  <c r="H23" i="87"/>
  <c r="I23" i="87"/>
  <c r="J23" i="87"/>
  <c r="K23" i="87"/>
  <c r="L23" i="87"/>
  <c r="M23" i="87"/>
  <c r="B23" i="86"/>
  <c r="C23" i="86"/>
  <c r="D23" i="86"/>
  <c r="E23" i="86"/>
  <c r="F23" i="86"/>
  <c r="G23" i="86"/>
  <c r="H23" i="86"/>
  <c r="I23" i="86"/>
  <c r="J23" i="86"/>
  <c r="K23" i="86"/>
  <c r="L23" i="86"/>
  <c r="M23" i="86"/>
  <c r="G20" i="85"/>
  <c r="H20" i="85"/>
  <c r="C20" i="85"/>
  <c r="J20" i="85"/>
  <c r="F20" i="85"/>
  <c r="K20" i="85"/>
  <c r="D20" i="85"/>
  <c r="M20" i="85"/>
  <c r="I20" i="85"/>
  <c r="E20" i="85"/>
  <c r="N20" i="85"/>
  <c r="E23" i="82"/>
  <c r="H23" i="82"/>
  <c r="L23" i="82"/>
  <c r="D23" i="82"/>
  <c r="M23" i="82"/>
  <c r="I23" i="82"/>
  <c r="J23" i="82"/>
  <c r="F23" i="82"/>
  <c r="B23" i="82"/>
  <c r="K23" i="82"/>
  <c r="G23" i="82"/>
  <c r="C23" i="82"/>
  <c r="B23" i="81"/>
  <c r="C23" i="81"/>
  <c r="D23" i="81"/>
  <c r="E23" i="81"/>
  <c r="F23" i="81"/>
  <c r="G23" i="81"/>
  <c r="H23" i="81"/>
  <c r="J23" i="81"/>
  <c r="K23" i="81"/>
  <c r="L23" i="81"/>
  <c r="M23" i="81"/>
  <c r="C23" i="80"/>
  <c r="D23" i="80"/>
  <c r="E23" i="80"/>
  <c r="G23" i="80"/>
  <c r="H23" i="80"/>
  <c r="I23" i="80"/>
  <c r="J23" i="80"/>
  <c r="K23" i="80"/>
  <c r="L23" i="80"/>
  <c r="M23" i="80"/>
  <c r="B21" i="79"/>
  <c r="B21" i="77"/>
  <c r="B22" i="77" s="1"/>
  <c r="H9" i="74"/>
  <c r="G20" i="72"/>
  <c r="B20" i="72"/>
  <c r="C20" i="72"/>
  <c r="D20" i="72"/>
  <c r="E20" i="72"/>
  <c r="C23" i="70"/>
  <c r="B23" i="70"/>
  <c r="E23" i="70"/>
  <c r="D23" i="70"/>
  <c r="G23" i="70"/>
  <c r="B23" i="69"/>
  <c r="C23" i="69"/>
  <c r="D23" i="69"/>
  <c r="E23" i="69"/>
  <c r="H13" i="69"/>
  <c r="C23" i="68"/>
  <c r="D23" i="68"/>
  <c r="E23" i="68"/>
  <c r="B15" i="65"/>
  <c r="B20" i="63"/>
  <c r="C20" i="63"/>
  <c r="E20" i="63"/>
  <c r="F20" i="63"/>
  <c r="D20" i="63"/>
  <c r="G20" i="63"/>
  <c r="B26" i="56"/>
  <c r="H14" i="25"/>
  <c r="G14" i="25"/>
  <c r="F14" i="25"/>
  <c r="E14" i="25"/>
  <c r="D14" i="25"/>
  <c r="C14" i="25"/>
  <c r="H10" i="79" l="1"/>
  <c r="B22" i="74"/>
  <c r="D15" i="25"/>
  <c r="G24" i="32"/>
  <c r="G24" i="34"/>
  <c r="F15" i="25"/>
  <c r="J18" i="45"/>
  <c r="F24" i="113"/>
  <c r="G24" i="35"/>
  <c r="K17" i="46"/>
  <c r="J18" i="44"/>
  <c r="J18" i="46"/>
  <c r="K17" i="44"/>
  <c r="C15" i="25"/>
  <c r="B21" i="119"/>
  <c r="B21" i="118"/>
  <c r="B21" i="117"/>
  <c r="B37" i="115"/>
  <c r="B43" i="115" s="1"/>
  <c r="G24" i="115"/>
  <c r="G15" i="25"/>
  <c r="E15" i="25"/>
  <c r="I9" i="25"/>
  <c r="N16" i="113"/>
  <c r="B23" i="113"/>
  <c r="B32" i="113" s="1"/>
  <c r="N15" i="111"/>
  <c r="B23" i="111"/>
  <c r="C14" i="65"/>
  <c r="C15" i="65" s="1"/>
  <c r="D14" i="65"/>
  <c r="D15" i="65" s="1"/>
  <c r="E14" i="65"/>
  <c r="E15" i="65" s="1"/>
  <c r="C52" i="50"/>
  <c r="C48" i="50"/>
  <c r="C49" i="50"/>
  <c r="C50" i="50"/>
  <c r="C51" i="50"/>
  <c r="C46" i="50"/>
  <c r="C42" i="50"/>
  <c r="C43" i="50"/>
  <c r="K11" i="45"/>
  <c r="K12" i="45"/>
  <c r="K13" i="45"/>
  <c r="K14" i="45"/>
  <c r="K15" i="45"/>
  <c r="K16" i="45"/>
  <c r="G15" i="65" l="1"/>
  <c r="C55" i="50"/>
  <c r="B32" i="111"/>
  <c r="B24" i="111"/>
  <c r="N14" i="113"/>
  <c r="N15" i="113"/>
  <c r="N20" i="113"/>
  <c r="N21" i="113"/>
  <c r="N11" i="113"/>
  <c r="N22" i="113"/>
  <c r="N9" i="113"/>
  <c r="N12" i="113"/>
  <c r="N13" i="113"/>
  <c r="N17" i="113"/>
  <c r="N18" i="113"/>
  <c r="N10" i="113"/>
  <c r="N19" i="113"/>
  <c r="K10" i="45"/>
  <c r="B34" i="46"/>
  <c r="N23" i="113" l="1"/>
  <c r="C34" i="46"/>
  <c r="B21" i="40"/>
  <c r="C21" i="40"/>
  <c r="D21" i="40"/>
  <c r="E21" i="40"/>
  <c r="C21" i="39"/>
  <c r="D21" i="39"/>
  <c r="E21" i="39"/>
  <c r="C21" i="38"/>
  <c r="D21" i="38"/>
  <c r="C24" i="37"/>
  <c r="D24" i="37"/>
  <c r="F24" i="37"/>
  <c r="C24" i="36"/>
  <c r="D24" i="36"/>
  <c r="F24" i="36"/>
  <c r="E21" i="38"/>
  <c r="E24" i="36"/>
  <c r="F21" i="40"/>
  <c r="F21" i="38"/>
  <c r="E24" i="37" l="1"/>
  <c r="F21" i="39"/>
  <c r="D24" i="33"/>
  <c r="F24" i="33"/>
  <c r="E24" i="33"/>
  <c r="C35" i="119" l="1"/>
  <c r="C31" i="119"/>
  <c r="C33" i="119"/>
  <c r="C39" i="119"/>
  <c r="C41" i="119"/>
  <c r="B31" i="119"/>
  <c r="B32" i="119"/>
  <c r="B33" i="119"/>
  <c r="B35" i="119"/>
  <c r="B36" i="119"/>
  <c r="B37" i="119"/>
  <c r="B39" i="119"/>
  <c r="B40" i="119"/>
  <c r="B41" i="119"/>
  <c r="K9" i="117"/>
  <c r="B35" i="113"/>
  <c r="B37" i="113"/>
  <c r="B38" i="113"/>
  <c r="B39" i="113"/>
  <c r="C34" i="111"/>
  <c r="C36" i="111"/>
  <c r="C38" i="111"/>
  <c r="B33" i="111"/>
  <c r="B34" i="111"/>
  <c r="B36" i="111"/>
  <c r="B38" i="111"/>
  <c r="B39" i="111"/>
  <c r="B40" i="111"/>
  <c r="B41" i="111"/>
  <c r="B35" i="111"/>
  <c r="B37" i="111"/>
  <c r="C40" i="111"/>
  <c r="C28" i="109"/>
  <c r="C29" i="109"/>
  <c r="C30" i="109"/>
  <c r="C33" i="109"/>
  <c r="C36" i="109"/>
  <c r="B27" i="109"/>
  <c r="B28" i="109"/>
  <c r="B29" i="109"/>
  <c r="B30" i="109"/>
  <c r="B31" i="109"/>
  <c r="B32" i="109"/>
  <c r="B33" i="109"/>
  <c r="B34" i="109"/>
  <c r="B35" i="109"/>
  <c r="B36" i="109"/>
  <c r="C27" i="109"/>
  <c r="C31" i="109"/>
  <c r="C32" i="109"/>
  <c r="C34" i="109"/>
  <c r="C35" i="109"/>
  <c r="C32" i="107"/>
  <c r="C33" i="107"/>
  <c r="B27" i="107"/>
  <c r="B28" i="107"/>
  <c r="D23" i="107"/>
  <c r="B29" i="107" s="1"/>
  <c r="E23" i="107"/>
  <c r="B30" i="107" s="1"/>
  <c r="F23" i="107"/>
  <c r="B31" i="107" s="1"/>
  <c r="G23" i="107"/>
  <c r="B32" i="107" s="1"/>
  <c r="H23" i="107"/>
  <c r="B33" i="107" s="1"/>
  <c r="I23" i="107"/>
  <c r="B34" i="107" s="1"/>
  <c r="J23" i="107"/>
  <c r="B35" i="107" s="1"/>
  <c r="K23" i="107"/>
  <c r="B36" i="107" s="1"/>
  <c r="L23" i="107"/>
  <c r="C27" i="107"/>
  <c r="C29" i="107"/>
  <c r="C30" i="107"/>
  <c r="C31" i="107"/>
  <c r="C34" i="107"/>
  <c r="C35" i="107"/>
  <c r="K31" i="105"/>
  <c r="K32" i="105"/>
  <c r="K33" i="105"/>
  <c r="K37" i="105"/>
  <c r="J29" i="105"/>
  <c r="J30" i="105"/>
  <c r="J31" i="105"/>
  <c r="J32" i="105"/>
  <c r="J33" i="105"/>
  <c r="J34" i="105"/>
  <c r="J35" i="105"/>
  <c r="J36" i="105"/>
  <c r="J37" i="105"/>
  <c r="J38" i="105"/>
  <c r="K30" i="105"/>
  <c r="K34" i="105"/>
  <c r="K35" i="105"/>
  <c r="K36" i="105"/>
  <c r="F20" i="100"/>
  <c r="D20" i="100"/>
  <c r="H20" i="100"/>
  <c r="J20" i="99"/>
  <c r="B20" i="99"/>
  <c r="C20" i="99"/>
  <c r="D20" i="99"/>
  <c r="E20" i="99"/>
  <c r="F20" i="99"/>
  <c r="G20" i="99"/>
  <c r="H20" i="99"/>
  <c r="I20" i="99"/>
  <c r="B20" i="98"/>
  <c r="C20" i="98"/>
  <c r="D20" i="98"/>
  <c r="E20" i="98"/>
  <c r="F20" i="98"/>
  <c r="G20" i="98"/>
  <c r="H20" i="98"/>
  <c r="I20" i="98"/>
  <c r="B17" i="95"/>
  <c r="C17" i="95"/>
  <c r="D17" i="95"/>
  <c r="E17" i="95"/>
  <c r="F17" i="95"/>
  <c r="G17" i="95"/>
  <c r="H17" i="95"/>
  <c r="I17" i="95"/>
  <c r="B17" i="94"/>
  <c r="C17" i="94"/>
  <c r="D17" i="94"/>
  <c r="E17" i="94"/>
  <c r="F17" i="94"/>
  <c r="G17" i="94"/>
  <c r="H17" i="94"/>
  <c r="I17" i="94"/>
  <c r="J17" i="94"/>
  <c r="K12" i="94" s="1"/>
  <c r="B25" i="91"/>
  <c r="B26" i="91"/>
  <c r="C23" i="91"/>
  <c r="C24" i="91"/>
  <c r="E14" i="91"/>
  <c r="C25" i="91" s="1"/>
  <c r="F14" i="91"/>
  <c r="C26" i="91" s="1"/>
  <c r="G14" i="91"/>
  <c r="C27" i="91" s="1"/>
  <c r="C22" i="91"/>
  <c r="B23" i="91"/>
  <c r="B24" i="91"/>
  <c r="B27" i="91"/>
  <c r="H19" i="72"/>
  <c r="H11" i="69"/>
  <c r="B31" i="65"/>
  <c r="B32" i="65"/>
  <c r="B34" i="65"/>
  <c r="D26" i="65"/>
  <c r="B35" i="65"/>
  <c r="B28" i="63"/>
  <c r="C28" i="63"/>
  <c r="B29" i="63"/>
  <c r="C29" i="63"/>
  <c r="B30" i="63"/>
  <c r="C30" i="63"/>
  <c r="B31" i="63"/>
  <c r="C31" i="63"/>
  <c r="B32" i="63"/>
  <c r="C32" i="63"/>
  <c r="B33" i="63"/>
  <c r="C33" i="63"/>
  <c r="B34" i="63"/>
  <c r="C34" i="63"/>
  <c r="B35" i="63"/>
  <c r="C35" i="63"/>
  <c r="B36" i="63"/>
  <c r="C36" i="63"/>
  <c r="B37" i="63"/>
  <c r="C37" i="63"/>
  <c r="B38" i="63"/>
  <c r="C38" i="63"/>
  <c r="C26" i="56"/>
  <c r="B27" i="56"/>
  <c r="K11" i="56"/>
  <c r="K12" i="56"/>
  <c r="K13" i="56"/>
  <c r="K14" i="56"/>
  <c r="C29" i="56"/>
  <c r="C16" i="56"/>
  <c r="D16" i="56"/>
  <c r="E16" i="56"/>
  <c r="F16" i="56"/>
  <c r="G16" i="56"/>
  <c r="H16" i="56"/>
  <c r="I16" i="56"/>
  <c r="J16" i="56"/>
  <c r="C17" i="56"/>
  <c r="D17" i="56"/>
  <c r="E17" i="56"/>
  <c r="F17" i="56"/>
  <c r="G17" i="56"/>
  <c r="H17" i="56"/>
  <c r="I17" i="56"/>
  <c r="J17" i="56"/>
  <c r="K9" i="55"/>
  <c r="K10" i="55"/>
  <c r="K11" i="55"/>
  <c r="K12" i="55"/>
  <c r="K13" i="55"/>
  <c r="K14" i="55"/>
  <c r="K15" i="55"/>
  <c r="C16" i="55"/>
  <c r="D16" i="55"/>
  <c r="E16" i="55"/>
  <c r="F16" i="55"/>
  <c r="G16" i="55"/>
  <c r="H16" i="55"/>
  <c r="I16" i="55"/>
  <c r="J16" i="55"/>
  <c r="C17" i="55"/>
  <c r="D17" i="55"/>
  <c r="E17" i="55"/>
  <c r="F17" i="55"/>
  <c r="G17" i="55"/>
  <c r="H17" i="55"/>
  <c r="I17" i="55"/>
  <c r="J17" i="55"/>
  <c r="C27" i="56" l="1"/>
  <c r="B29" i="56"/>
  <c r="L14" i="56"/>
  <c r="C28" i="56"/>
  <c r="B28" i="56"/>
  <c r="K39" i="105"/>
  <c r="B18" i="94"/>
  <c r="K16" i="56"/>
  <c r="B43" i="111"/>
  <c r="G20" i="100"/>
  <c r="C20" i="100"/>
  <c r="E20" i="100"/>
  <c r="B20" i="100"/>
  <c r="H15" i="25"/>
  <c r="I12" i="25"/>
  <c r="I10" i="25"/>
  <c r="I13" i="25"/>
  <c r="C33" i="96"/>
  <c r="B34" i="96"/>
  <c r="B21" i="99"/>
  <c r="H21" i="99"/>
  <c r="G21" i="99"/>
  <c r="K16" i="55"/>
  <c r="L8" i="55" s="1"/>
  <c r="H21" i="69"/>
  <c r="B32" i="96"/>
  <c r="C29" i="96"/>
  <c r="E21" i="118"/>
  <c r="G24" i="33"/>
  <c r="H9" i="65"/>
  <c r="B30" i="96"/>
  <c r="B34" i="113"/>
  <c r="C32" i="96"/>
  <c r="C36" i="107"/>
  <c r="B28" i="91"/>
  <c r="I21" i="99"/>
  <c r="H21" i="117"/>
  <c r="C37" i="109"/>
  <c r="H20" i="69"/>
  <c r="H17" i="69"/>
  <c r="H12" i="69"/>
  <c r="H9" i="69"/>
  <c r="H16" i="72"/>
  <c r="H12" i="72"/>
  <c r="I18" i="94"/>
  <c r="E21" i="99"/>
  <c r="K19" i="99"/>
  <c r="K15" i="99"/>
  <c r="K11" i="99"/>
  <c r="G21" i="117"/>
  <c r="I21" i="117"/>
  <c r="E21" i="117"/>
  <c r="H18" i="69"/>
  <c r="H15" i="69"/>
  <c r="H10" i="69"/>
  <c r="H17" i="72"/>
  <c r="H13" i="72"/>
  <c r="H9" i="72"/>
  <c r="N23" i="81"/>
  <c r="H14" i="91"/>
  <c r="H15" i="91" s="1"/>
  <c r="F18" i="94"/>
  <c r="K9" i="94"/>
  <c r="B31" i="96"/>
  <c r="K16" i="99"/>
  <c r="K12" i="99"/>
  <c r="B37" i="109"/>
  <c r="F21" i="117"/>
  <c r="K16" i="117"/>
  <c r="K12" i="117"/>
  <c r="C37" i="119"/>
  <c r="K17" i="55"/>
  <c r="L15" i="55" s="1"/>
  <c r="B33" i="65"/>
  <c r="H16" i="69"/>
  <c r="H18" i="72"/>
  <c r="H14" i="72"/>
  <c r="H10" i="72"/>
  <c r="D18" i="94"/>
  <c r="K10" i="94"/>
  <c r="B33" i="96"/>
  <c r="J20" i="98"/>
  <c r="K19" i="98" s="1"/>
  <c r="C21" i="99"/>
  <c r="K17" i="99"/>
  <c r="K13" i="99"/>
  <c r="K9" i="99"/>
  <c r="B36" i="113"/>
  <c r="C21" i="117"/>
  <c r="B38" i="119"/>
  <c r="B34" i="119"/>
  <c r="K17" i="56"/>
  <c r="L11" i="56" s="1"/>
  <c r="H22" i="69"/>
  <c r="H19" i="69"/>
  <c r="H14" i="69"/>
  <c r="H15" i="72"/>
  <c r="H11" i="72"/>
  <c r="N23" i="80"/>
  <c r="H18" i="94"/>
  <c r="J17" i="95"/>
  <c r="K10" i="95" s="1"/>
  <c r="C34" i="96"/>
  <c r="B35" i="96"/>
  <c r="D21" i="99"/>
  <c r="K18" i="99"/>
  <c r="K14" i="99"/>
  <c r="K10" i="99"/>
  <c r="B40" i="113"/>
  <c r="D21" i="117"/>
  <c r="K18" i="117"/>
  <c r="K14" i="117"/>
  <c r="K10" i="117"/>
  <c r="C40" i="119"/>
  <c r="C38" i="119"/>
  <c r="C36" i="119"/>
  <c r="C34" i="119"/>
  <c r="C32" i="119"/>
  <c r="K19" i="117"/>
  <c r="K17" i="117"/>
  <c r="K15" i="117"/>
  <c r="K13" i="117"/>
  <c r="K11" i="117"/>
  <c r="C41" i="111"/>
  <c r="C39" i="111"/>
  <c r="C37" i="111"/>
  <c r="C35" i="111"/>
  <c r="C33" i="111"/>
  <c r="B37" i="107"/>
  <c r="C28" i="107"/>
  <c r="J39" i="105"/>
  <c r="F21" i="99"/>
  <c r="C35" i="96"/>
  <c r="C31" i="96"/>
  <c r="E18" i="94"/>
  <c r="K15" i="94"/>
  <c r="K13" i="94"/>
  <c r="K11" i="94"/>
  <c r="G18" i="94"/>
  <c r="C18" i="94"/>
  <c r="K16" i="94"/>
  <c r="K14" i="94"/>
  <c r="C28" i="91"/>
  <c r="G24" i="36"/>
  <c r="L10" i="56" l="1"/>
  <c r="L8" i="56"/>
  <c r="L12" i="56"/>
  <c r="L15" i="56"/>
  <c r="L9" i="56"/>
  <c r="L13" i="56"/>
  <c r="L14" i="55"/>
  <c r="L12" i="55"/>
  <c r="L10" i="55"/>
  <c r="L16" i="55" s="1"/>
  <c r="L9" i="55"/>
  <c r="L11" i="55"/>
  <c r="L13" i="55"/>
  <c r="C21" i="98"/>
  <c r="B21" i="98"/>
  <c r="C28" i="96"/>
  <c r="B18" i="95"/>
  <c r="B37" i="65"/>
  <c r="B43" i="113"/>
  <c r="C43" i="111"/>
  <c r="I8" i="91"/>
  <c r="F15" i="91"/>
  <c r="D15" i="91"/>
  <c r="I10" i="91"/>
  <c r="I12" i="91"/>
  <c r="B15" i="91"/>
  <c r="I9" i="91"/>
  <c r="E15" i="91"/>
  <c r="K17" i="118"/>
  <c r="K20" i="117"/>
  <c r="C15" i="91"/>
  <c r="I11" i="91"/>
  <c r="G15" i="91"/>
  <c r="I13" i="91"/>
  <c r="H16" i="74"/>
  <c r="C21" i="118"/>
  <c r="K19" i="118"/>
  <c r="K18" i="118"/>
  <c r="K14" i="118"/>
  <c r="F21" i="118"/>
  <c r="D21" i="118"/>
  <c r="K11" i="118"/>
  <c r="I21" i="118"/>
  <c r="K16" i="118"/>
  <c r="K15" i="118"/>
  <c r="K13" i="118"/>
  <c r="K10" i="118"/>
  <c r="K12" i="118"/>
  <c r="K9" i="118"/>
  <c r="J21" i="117"/>
  <c r="C24" i="113"/>
  <c r="L24" i="113"/>
  <c r="J24" i="113"/>
  <c r="I24" i="113"/>
  <c r="H24" i="113"/>
  <c r="D24" i="113"/>
  <c r="K24" i="113"/>
  <c r="E24" i="113"/>
  <c r="B24" i="113"/>
  <c r="G24" i="113"/>
  <c r="I24" i="111"/>
  <c r="N9" i="111"/>
  <c r="N13" i="111"/>
  <c r="C37" i="107"/>
  <c r="K20" i="99"/>
  <c r="J21" i="99"/>
  <c r="K14" i="98"/>
  <c r="G21" i="98"/>
  <c r="I21" i="98"/>
  <c r="F21" i="98"/>
  <c r="K11" i="98"/>
  <c r="K9" i="98"/>
  <c r="K15" i="98"/>
  <c r="K10" i="98"/>
  <c r="K13" i="98"/>
  <c r="E21" i="98"/>
  <c r="K16" i="98"/>
  <c r="K12" i="98"/>
  <c r="H21" i="98"/>
  <c r="D21" i="98"/>
  <c r="K17" i="98"/>
  <c r="K18" i="98"/>
  <c r="J18" i="94"/>
  <c r="K17" i="94"/>
  <c r="H13" i="77"/>
  <c r="H14" i="77"/>
  <c r="H15" i="77"/>
  <c r="H16" i="77"/>
  <c r="H17" i="77"/>
  <c r="H10" i="77"/>
  <c r="H19" i="77"/>
  <c r="H11" i="77"/>
  <c r="H20" i="77"/>
  <c r="H12" i="77"/>
  <c r="H20" i="72"/>
  <c r="H23" i="69"/>
  <c r="H13" i="65"/>
  <c r="H10" i="65"/>
  <c r="H12" i="65"/>
  <c r="H11" i="65"/>
  <c r="I14" i="25"/>
  <c r="B42" i="119"/>
  <c r="H9" i="70"/>
  <c r="C42" i="119"/>
  <c r="H17" i="76"/>
  <c r="J20" i="100"/>
  <c r="E21" i="100" s="1"/>
  <c r="N23" i="82"/>
  <c r="K9" i="96"/>
  <c r="H21" i="118"/>
  <c r="G21" i="118"/>
  <c r="H20" i="79"/>
  <c r="B29" i="96"/>
  <c r="B36" i="96" s="1"/>
  <c r="H14" i="74"/>
  <c r="K17" i="119"/>
  <c r="K11" i="95"/>
  <c r="F18" i="95"/>
  <c r="E18" i="95"/>
  <c r="D18" i="95"/>
  <c r="I18" i="95"/>
  <c r="K16" i="95"/>
  <c r="G18" i="95"/>
  <c r="K13" i="95"/>
  <c r="K12" i="95"/>
  <c r="C18" i="95"/>
  <c r="H18" i="95"/>
  <c r="K9" i="95"/>
  <c r="K15" i="95"/>
  <c r="K14" i="95"/>
  <c r="N20" i="111"/>
  <c r="N11" i="111"/>
  <c r="L24" i="111"/>
  <c r="N16" i="111"/>
  <c r="N14" i="111"/>
  <c r="F24" i="111"/>
  <c r="J24" i="111"/>
  <c r="C24" i="111"/>
  <c r="G24" i="111"/>
  <c r="K24" i="111"/>
  <c r="N18" i="111"/>
  <c r="H24" i="111"/>
  <c r="N21" i="111"/>
  <c r="N12" i="111"/>
  <c r="N10" i="111"/>
  <c r="E24" i="111"/>
  <c r="D24" i="111"/>
  <c r="N17" i="111"/>
  <c r="N19" i="111"/>
  <c r="N22" i="111"/>
  <c r="C30" i="96"/>
  <c r="H12" i="74"/>
  <c r="H10" i="74"/>
  <c r="H11" i="74"/>
  <c r="H13" i="74"/>
  <c r="H15" i="74"/>
  <c r="H17" i="74"/>
  <c r="H19" i="74"/>
  <c r="H20" i="74"/>
  <c r="H18" i="74"/>
  <c r="L17" i="56" l="1"/>
  <c r="L16" i="56"/>
  <c r="L17" i="55"/>
  <c r="C36" i="96"/>
  <c r="B18" i="96"/>
  <c r="C21" i="100"/>
  <c r="I14" i="91"/>
  <c r="N23" i="111"/>
  <c r="J21" i="118"/>
  <c r="K20" i="118"/>
  <c r="N22" i="115"/>
  <c r="N9" i="115"/>
  <c r="M24" i="113"/>
  <c r="M24" i="111"/>
  <c r="N17" i="115"/>
  <c r="K20" i="98"/>
  <c r="J21" i="98"/>
  <c r="K15" i="100"/>
  <c r="K19" i="100"/>
  <c r="K10" i="100"/>
  <c r="I21" i="100"/>
  <c r="K13" i="100"/>
  <c r="H21" i="100"/>
  <c r="F21" i="100"/>
  <c r="K17" i="100"/>
  <c r="K9" i="100"/>
  <c r="K11" i="100"/>
  <c r="K17" i="95"/>
  <c r="J18" i="95"/>
  <c r="K14" i="96"/>
  <c r="K13" i="96"/>
  <c r="H13" i="79"/>
  <c r="H19" i="76"/>
  <c r="H14" i="76"/>
  <c r="H16" i="76"/>
  <c r="H9" i="76"/>
  <c r="H11" i="76"/>
  <c r="H21" i="74"/>
  <c r="H10" i="76"/>
  <c r="H17" i="70"/>
  <c r="H14" i="70"/>
  <c r="H14" i="65"/>
  <c r="C37" i="50"/>
  <c r="E24" i="115"/>
  <c r="H14" i="79"/>
  <c r="D24" i="115"/>
  <c r="J24" i="115"/>
  <c r="I24" i="115"/>
  <c r="K12" i="100"/>
  <c r="H17" i="79"/>
  <c r="H19" i="79"/>
  <c r="N20" i="115"/>
  <c r="K24" i="115"/>
  <c r="H12" i="76"/>
  <c r="B22" i="79"/>
  <c r="K14" i="100"/>
  <c r="F24" i="115"/>
  <c r="K15" i="119"/>
  <c r="N13" i="115"/>
  <c r="H24" i="115"/>
  <c r="N18" i="115"/>
  <c r="L24" i="115"/>
  <c r="H18" i="79"/>
  <c r="N12" i="115"/>
  <c r="N15" i="115"/>
  <c r="H11" i="79"/>
  <c r="K18" i="100"/>
  <c r="G21" i="100"/>
  <c r="N19" i="115"/>
  <c r="D42" i="119"/>
  <c r="H15" i="70"/>
  <c r="K12" i="96"/>
  <c r="K15" i="96"/>
  <c r="H13" i="70"/>
  <c r="D18" i="96"/>
  <c r="N11" i="115"/>
  <c r="N10" i="115"/>
  <c r="C24" i="115"/>
  <c r="N14" i="115"/>
  <c r="K10" i="96"/>
  <c r="H12" i="70"/>
  <c r="H21" i="70"/>
  <c r="H10" i="70"/>
  <c r="H22" i="70"/>
  <c r="N16" i="115"/>
  <c r="I21" i="119"/>
  <c r="K16" i="96"/>
  <c r="I18" i="96"/>
  <c r="H11" i="70"/>
  <c r="H20" i="70"/>
  <c r="K11" i="96"/>
  <c r="F18" i="96"/>
  <c r="B24" i="115"/>
  <c r="G21" i="119"/>
  <c r="G18" i="96"/>
  <c r="N21" i="115"/>
  <c r="H16" i="70"/>
  <c r="H19" i="70"/>
  <c r="H18" i="96"/>
  <c r="K12" i="119"/>
  <c r="E18" i="96"/>
  <c r="H18" i="70"/>
  <c r="H15" i="76"/>
  <c r="H20" i="76"/>
  <c r="H18" i="76"/>
  <c r="H13" i="76"/>
  <c r="C18" i="96"/>
  <c r="B21" i="100"/>
  <c r="D21" i="100"/>
  <c r="K16" i="100"/>
  <c r="H9" i="79"/>
  <c r="H15" i="79"/>
  <c r="H12" i="79"/>
  <c r="H16" i="79"/>
  <c r="K9" i="119"/>
  <c r="K11" i="119"/>
  <c r="C21" i="119"/>
  <c r="E21" i="119"/>
  <c r="K13" i="119"/>
  <c r="K18" i="119"/>
  <c r="D21" i="119"/>
  <c r="K10" i="119"/>
  <c r="K19" i="119"/>
  <c r="K16" i="119"/>
  <c r="F21" i="119"/>
  <c r="H21" i="119"/>
  <c r="K14" i="119"/>
  <c r="H21" i="79" l="1"/>
  <c r="N23" i="115"/>
  <c r="H21" i="76"/>
  <c r="J21" i="119"/>
  <c r="K20" i="119"/>
  <c r="M24" i="115"/>
  <c r="J21" i="100"/>
  <c r="K20" i="100"/>
  <c r="K17" i="96"/>
  <c r="J18" i="96"/>
  <c r="G22" i="76"/>
  <c r="H23" i="70"/>
  <c r="G24" i="37"/>
  <c r="G23" i="68"/>
  <c r="H21" i="68" s="1"/>
  <c r="H15" i="68" l="1"/>
  <c r="H13" i="68"/>
  <c r="H19" i="68"/>
  <c r="H22" i="68"/>
  <c r="H10" i="68"/>
  <c r="H14" i="68"/>
  <c r="H11" i="68"/>
  <c r="H18" i="68"/>
  <c r="H20" i="68"/>
  <c r="H16" i="68"/>
  <c r="H9" i="68"/>
  <c r="H17" i="68"/>
  <c r="H12" i="68"/>
  <c r="H23" i="68" l="1"/>
</calcChain>
</file>

<file path=xl/connections.xml><?xml version="1.0" encoding="utf-8"?>
<connections xmlns="http://schemas.openxmlformats.org/spreadsheetml/2006/main">
  <connection id="1" name="(Default) XLS_TAB_1" type="1" refreshedVersion="4" savePassword="1" saveData="1">
    <dbPr connection="DSN=VITAL_DB;UID=md_qry;PWD=md4421;SERVER=dev;" command="SELECT   X.YEAR_AR ,_x000d__x000a_         X.M_QTRI_COUNT,_x000d__x000a_         X.M_QTRI_PSG,_x000d__x000a_         X.M_NQTRI_COUNT,_x000d__x000a_         X.M_NQTRI_PSG,_x000d__x000a_         X.M_QTRI_TOT_COUNT,_x000d__x000a_         X.M_QTRI_TOT_PSG,_x000d__x000a_         X.D_QTRI_COUNT,_x000d__x000a_         X.D_QTRI_PSG,_x000d__x000a_         X.D_NQTRI_COUNT,_x000d__x000a_         X.D_NQTRI_PSG,_x000d__x000a_         X.D_QTRI_TOT_COUNT,_x000d__x000a_         X.D_QTRI_TOT_PSG ,_x000d__x000a_         X.YEAR_ENG_x000d__x000a_  FROM   MIGRATE.XLS_TAB_1 X _x000d__x000a_  where X.BULLTEN_YEAR=?_x000d__x000a_ORDER BY X.ROW_ORDER"/>
    <parameters count="1">
      <parameter name="Parameter1" parameterType="cell" refreshOnChange="1" cell="Sheet1!$B$1"/>
    </parameters>
  </connection>
  <connection id="2" name="(Default) XLS_TAB_10" type="1" refreshedVersion="4" minRefreshableVersion="3" savePassword="1" saveData="1">
    <dbPr connection="DSN=VITAL_DB;UID=md_qry;PWD=md4421;SERVER=DEV;" command="SELECT   _x000d__x000a_           X.NAT_DESC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NAT_DESC_ENG          _x000d__x000a_    FROM   XLS_TAB_10 X_x000d__x000a_   WHERE   X.BULLTEN_YEAR = ?_x000d__x000a_ORDER BY   X.ROW_ORDER"/>
    <parameters count="1">
      <parameter name="Parameter1" parameterType="cell" refreshOnChange="1" cell="Sheet1!$B$1"/>
    </parameters>
  </connection>
  <connection id="3" name="(Default) XLS_TAB_11_1"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          _x000d__x000a_    FROM   XLS_TAB_11 X_x000d__x000a_   WHERE   X.BULLTEN_YEAR =? AND  X.CAT_QATRI_NQATRI_TOT=1_x000d__x000a_ORDER BY   X.ROW_ORDER"/>
    <parameters count="1">
      <parameter name="Parameter1" parameterType="cell" refreshOnChange="1" cell="Sheet1!$B$1"/>
    </parameters>
  </connection>
  <connection id="4" name="(Default) XLS_TAB_11_2" type="1" refreshedVersion="4"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          _x000d__x000a_    FROM   XLS_TAB_11 X_x000d__x000a_   WHERE   X.BULLTEN_YEAR =? AND  X.CAT_QATRI_NQATRI_TOT=2_x000d__x000a_ORDER BY   X.ROW_ORDER"/>
    <parameters count="1">
      <parameter name="Parameter1" parameterType="cell" refreshOnChange="1" cell="Sheet1!$B$1"/>
    </parameters>
  </connection>
  <connection id="5" name="(Default) XLS_TAB_11_3"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          _x000d__x000a_    FROM   XLS_TAB_11 X_x000d__x000a_   WHERE   X.BULLTEN_YEAR =? AND  X.CAT_QATRI_NQATRI_TOT=3_x000d__x000a_ORDER BY   X.ROW_ORDER"/>
    <parameters count="1">
      <parameter name="Parameter1" parameterType="cell" refreshOnChange="1" cell="Sheet1!$B$1"/>
    </parameters>
  </connection>
  <connection id="6" name="(Default) XLS_TAB_12_1" type="1" refreshedVersion="4" minRefreshableVersion="3" savePassword="1" saveData="1">
    <dbPr connection="DSN=VITAL_DB;UID=md_qry;PWD=md4421;SERVER=DEV;" command="SELECT   X.AGE_LEVEL_HUSBD_ARB,_x000d__x000a_           X.NO_WIFE_0,_x000d__x000a_           X.NO_WIFE_1,_x000d__x000a_           X.NO_WIFE_2,_x000d__x000a_           X.NO_WIFE_3,_x000d__x000a_           X.NO_WIFE_NOT_STATED,_x000d__x000a_           X.TOTAL,_x000d__x000a_           X.AGE_LEVEL_HUSBD_ENG_x000d__x000a_    FROM   XLS_TAB_12 X_x000d__x000a_   WHERE   X.BULLTEN_YEAR = ? AND X.CAT_QATRI_NQATRI_TOT = 1_x000d__x000a_ORDER BY   X.ROW_ORDER"/>
    <parameters count="1">
      <parameter name="Parameter1" parameterType="cell" refreshOnChange="1" cell="Sheet1!$B$1"/>
    </parameters>
  </connection>
  <connection id="7" name="(Default) XLS_TAB_12_2" type="1" refreshedVersion="4" minRefreshableVersion="3" savePassword="1" saveData="1">
    <dbPr connection="DSN=VITAL_DB;UID=md_qry;PWD=md4421;SERVER=DEV;" command="SELECT   X.AGE_LEVEL_HUSBD_ARB,_x000d__x000a_           X.NO_WIFE_0,_x000d__x000a_           X.NO_WIFE_1,_x000d__x000a_           X.NO_WIFE_2,_x000d__x000a_           X.NO_WIFE_3,_x000d__x000a_           X.NO_WIFE_NOT_STATED,_x000d__x000a_           X.TOTAL,_x000d__x000a_           X.AGE_LEVEL_HUSBD_ENG_x000d__x000a_    FROM   XLS_TAB_12 X_x000d__x000a_   WHERE   X.BULLTEN_YEAR = ? AND X.CAT_QATRI_NQATRI_TOT = 2_x000d__x000a_ORDER BY   X.ROW_ORDER"/>
    <parameters count="1">
      <parameter name="Parameter1" parameterType="cell" refreshOnChange="1" cell="Sheet1!$B$1"/>
    </parameters>
  </connection>
  <connection id="8" name="(Default) XLS_TAB_12_3" type="1" refreshedVersion="4" minRefreshableVersion="3" savePassword="1" saveData="1">
    <dbPr connection="DSN=VITAL_DB;UID=md_qry;PWD=md4421;SERVER=DEV;" command="SELECT   X.AGE_LEVEL_HUSBD_ARB,_x000d__x000a_           X.NO_WIFE_0,_x000d__x000a_           X.NO_WIFE_1,_x000d__x000a_           X.NO_WIFE_2,_x000d__x000a_           X.NO_WIFE_3,_x000d__x000a_           X.NO_WIFE_NOT_STATED,_x000d__x000a_           X.TOTAL,_x000d__x000a_           X.AGE_LEVEL_HUSBD_ENG_x000d__x000a_    FROM   XLS_TAB_12 X_x000d__x000a_   WHERE   X.BULLTEN_YEAR = ? AND X.CAT_QATRI_NQATRI_TOT = 3_x000d__x000a_ORDER BY   X.ROW_ORDER"/>
    <parameters count="1">
      <parameter name="Parameter1" parameterType="cell" refreshOnChange="1" cell="Sheet1!$B$1"/>
    </parameters>
  </connection>
  <connection id="9" name="(Default) XLS_TAB_13_1" type="1" refreshedVersion="4" minRefreshableVersion="3" savePassword="1" saveData="1">
    <dbPr connection="DSN=VITAL_DB;UID=md_qry;PWD=md4421;SERVER=DEV;" command="SELECT   _x000d__x000a_           X.AGE_LEVEL_HUSBD_ARB,_x000d__x000a_            X.NEVER_MARR,_x000d__x000a_           X.MARRIED,_x000d__x000a_           X.DIVORCES,_x000d__x000a_           X.WIDOWED,_x000d__x000a_           X.NOT_STATED,_x000d__x000a_           X.TOTAL,_x000d__x000a_           X.AGE_LEVEL_HUSBD_ENG_x000d__x000a_    FROM   XLS_TAB_13 X_x000d__x000a_   WHERE   X.BULLTEN_YEAR = ? AND X.CAT_QATRI_NQATRI_TOT = 1_x000d__x000a_ORDER BY   X.ROW_ORDER"/>
    <parameters count="1">
      <parameter name="Parameter1" parameterType="cell" refreshOnChange="1" cell="Sheet1!$B$1"/>
    </parameters>
  </connection>
  <connection id="10" name="(Default) XLS_TAB_13_2" type="1" refreshedVersion="4" minRefreshableVersion="3" savePassword="1" saveData="1">
    <dbPr connection="DSN=VITAL_DB;UID=md_qry;PWD=md4421;SERVER=DEV;" command="SELECT   _x000d__x000a_           X.AGE_LEVEL_HUSBD_ARB,_x000d__x000a_            X.NEVER_MARR,_x000d__x000a_           X.MARRIED,_x000d__x000a_           X.DIVORCES,_x000d__x000a_           X.WIDOWED,_x000d__x000a_           X.NOT_STATED,_x000d__x000a_           X.TOTAL,_x000d__x000a_           X.AGE_LEVEL_HUSBD_ENG_x000d__x000a_    FROM   XLS_TAB_13 X_x000d__x000a_   WHERE   X.BULLTEN_YEAR = ? AND X.CAT_QATRI_NQATRI_TOT =2_x000d__x000a_ORDER BY   X.ROW_ORDER"/>
    <parameters count="1">
      <parameter name="Parameter1" parameterType="cell" refreshOnChange="1" cell="Sheet1!$B$1"/>
    </parameters>
  </connection>
  <connection id="11" name="(Default) XLS_TAB_13_3" type="1" refreshedVersion="4" savePassword="1" saveData="1">
    <dbPr connection="DSN=VITAL_DB;UID=md_qry;PWD=md4421;SERVER=DEV;" command="SELECT   _x000d__x000a_           X.AGE_LEVEL_HUSBD_ARB,_x000d__x000a_            X.NEVER_MARR,_x000d__x000a_           X.MARRIED,_x000d__x000a_           X.DIVORCES,_x000d__x000a_           X.WIDOWED,_x000d__x000a_           X.NOT_STATED,_x000d__x000a_           X.TOTAL,_x000d__x000a_           X.AGE_LEVEL_HUSBD_ENG_x000d__x000a_    FROM   XLS_TAB_13 X_x000d__x000a_   WHERE   X.BULLTEN_YEAR = ? AND X.CAT_QATRI_NQATRI_TOT = 3_x000d__x000a_ORDER BY   X.ROW_ORDER"/>
    <parameters count="1">
      <parameter name="Parameter1" parameterType="cell" refreshOnChange="1" cell="Sheet1!$B$1"/>
    </parameters>
  </connection>
  <connection id="12" name="(Default) XLS_TAB_14_1" type="1" refreshedVersion="4" minRefreshableVersion="3" savePassword="1" saveData="1">
    <dbPr connection="DSN=VITAL_DB;UID=md_qry;PWD=md4421;SERVER=DEV;" command="SELECT   _x000d__x000a_           X.AGE_LEVEL_HUSBD_ARB,_x000d__x000a_           X.NOT_MARRIED,_x000d__x000a_           X.DIVORCES,_x000d__x000a_           X.WIDOWED,_x000d__x000a_           X.NOT_STATED,_x000d__x000a_           X.TOTAL,_x000d__x000a_           X.AGE_LEVEL_HUSBD_ENG_x000d__x000a_    FROM   XLS_TAB_14 X_x000d__x000a_   WHERE   X.BULLTEN_YEAR = ? AND X.CAT_QATRI_NQATRI_TOT = 1_x000d__x000a_ORDER BY   X.ROW_ORDER"/>
    <parameters count="1">
      <parameter name="Parameter1" parameterType="cell" refreshOnChange="1" cell="Sheet1!$B$1"/>
    </parameters>
  </connection>
  <connection id="13" name="(Default) XLS_TAB_14_2" type="1" refreshedVersion="4" minRefreshableVersion="3" savePassword="1" saveData="1">
    <dbPr connection="DSN=VITAL_DB;UID=md_qry;PWD=md4421;SERVER=DEV;" command="SELECT   _x000d__x000a_           X.AGE_LEVEL_HUSBD_ARB,_x000d__x000a_           X.NOT_MARRIED,_x000d__x000a_           X.DIVORCES,_x000d__x000a_           X.WIDOWED,_x000d__x000a_           X.NOT_STATED,_x000d__x000a_           X.TOTAL,_x000d__x000a_           X.AGE_LEVEL_HUSBD_ENG_x000d__x000a_    FROM   XLS_TAB_14 X_x000d__x000a_   WHERE   X.BULLTEN_YEAR = ? AND X.CAT_QATRI_NQATRI_TOT =2_x000d__x000a_ORDER BY   X.ROW_ORDER"/>
    <parameters count="1">
      <parameter name="Parameter1" parameterType="cell" refreshOnChange="1" cell="Sheet1!$B$1"/>
    </parameters>
  </connection>
  <connection id="14" name="(Default) XLS_TAB_14_3" type="1" refreshedVersion="4" minRefreshableVersion="3" savePassword="1" saveData="1">
    <dbPr connection="DSN=VITAL_DB;UID=md_qry;PWD=md4421;SERVER=DEV;" command="SELECT   _x000d__x000a_           X.AGE_LEVEL_HUSBD_ARB,_x000d__x000a_           X.NOT_MARRIED,_x000d__x000a_           X.DIVORCES,_x000d__x000a_           X.WIDOWED,_x000d__x000a_           X.NOT_STATED,_x000d__x000a_           X.TOTAL,_x000d__x000a_           X.AGE_LEVEL_HUSBD_ENG_x000d__x000a_    FROM   XLS_TAB_14 X_x000d__x000a_   WHERE   X.BULLTEN_YEAR = ? AND X.CAT_QATRI_NQATRI_TOT =3_x000d__x000a_ORDER BY   X.ROW_ORDER"/>
    <parameters count="1">
      <parameter name="Parameter1" parameterType="cell" refreshOnChange="1" cell="Sheet1!$B$1"/>
    </parameters>
  </connection>
  <connection id="15" name="(Default) XLS_TAB_15_1" type="1" refreshedVersion="4" minRefreshableVersion="3" savePassword="1" saveData="1">
    <dbPr connection="DSN=VITAL_DB;UID=md_qry;PWD=md4421;SERVER=DEV;" command="SELECT  _x000d__x000a_           X.AGE_LEVEL_ARB,_x000d__x000a_           X.HUSBD_CNT,_x000d__x000a_           X.WIFE_CNT,_x000d__x000a_           X.TOTAL,_x000d__x000a_           X.PSTG,_x000d__x000a_           X.AGE_LEVEL_ENG_x000d__x000a_    FROM   MIGRATE.XLS_TAB_15 X_x000d__x000a_   WHERE   X.BULLTEN_YEAR = ? AND X.CAT_QATRI_NQATRI_TOT = 1_x000d__x000a_ORDER BY   X.ROW_ORDER"/>
    <parameters count="1">
      <parameter name="Parameter1" parameterType="cell" refreshOnChange="1" cell="Sheet1!$B$1"/>
    </parameters>
  </connection>
  <connection id="16" name="(Default) XLS_TAB_15_2" type="1" refreshedVersion="4" minRefreshableVersion="3" savePassword="1" saveData="1">
    <dbPr connection="DSN=VITAL_DB;UID=md_qry;PWD=md4421;SERVER=dev;" command="SELECT  _x000d__x000a_           X.AGE_LEVEL_ARB,_x000d__x000a_           X.HUSBD_CNT,_x000d__x000a_           X.WIFE_CNT,_x000d__x000a_           X.TOTAL,_x000d__x000a_           X.PSTG,_x000d__x000a_           X.AGE_LEVEL_ENG_x000d__x000a_    FROM   MIGRATE.XLS_TAB_15 X_x000d__x000a_   WHERE   X.BULLTEN_YEAR = ? AND X.CAT_QATRI_NQATRI_TOT = 2_x000d__x000a_ORDER BY   X.ROW_ORDER"/>
    <parameters count="1">
      <parameter name="Parameter1" parameterType="cell" refreshOnChange="1" cell="Sheet1!$B$1"/>
    </parameters>
  </connection>
  <connection id="17" name="(Default) XLS_TAB_15_3" type="1" refreshedVersion="4" minRefreshableVersion="3" savePassword="1" saveData="1">
    <dbPr connection="DSN=VITAL_DB;UID=md_qry;PWD=md4421;SERVER=dev;" command="SELECT  _x000d__x000a_           X.AGE_LEVEL_ARB,_x000d__x000a_           X.HUSBD_CNT,_x000d__x000a_           X.WIFE_CNT,_x000d__x000a_           X.TOTAL,_x000d__x000a_           X.PSTG,_x000d__x000a_           X.AGE_LEVEL_ENG_x000d__x000a_    FROM   MIGRATE.XLS_TAB_15 X_x000d__x000a_   WHERE   X.BULLTEN_YEAR = ? AND X.CAT_QATRI_NQATRI_TOT =3_x000d__x000a_ORDER BY   X.ROW_ORDER"/>
    <parameters count="1">
      <parameter name="Parameter1" parameterType="cell" refreshOnChange="1" cell="Sheet1!$B$1"/>
    </parameters>
  </connection>
  <connection id="18" name="(Default) XLS_TAB_16_1"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        _x000d__x000a_  FROM   MIGRATE.XLS_TAB_16 X_x000d__x000a_  WHERE X.BULLTEN_YEAR=? AND X.CAT_QATRI_NQATRI_TOT=1_x000d__x000a_  ORDER BY X.ROW_ORDER"/>
    <parameters count="1">
      <parameter name="Parameter1" parameterType="cell" refreshOnChange="1" cell="Sheet1!$B$1"/>
    </parameters>
  </connection>
  <connection id="19" name="(Default) XLS_TAB_16_2"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        _x000d__x000a_  FROM   MIGRATE.XLS_TAB_16 X_x000d__x000a_  WHERE X.BULLTEN_YEAR=? AND X.CAT_QATRI_NQATRI_TOT=2_x000d__x000a_  ORDER BY X.ROW_ORDER"/>
    <parameters count="1">
      <parameter name="Parameter1" parameterType="cell" refreshOnChange="1" cell="Sheet1!$B$1"/>
    </parameters>
  </connection>
  <connection id="20" name="(Default) XLS_TAB_16_3"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        _x000d__x000a_  FROM   MIGRATE.XLS_TAB_16 X_x000d__x000a_  WHERE X.BULLTEN_YEAR=? AND X.CAT_QATRI_NQATRI_TOT=3_x000d__x000a_  ORDER BY X.ROW_ORDER"/>
    <parameters count="1">
      <parameter name="Parameter1" parameterType="cell" refreshOnChange="1" cell="Sheet1!$B$1"/>
    </parameters>
  </connection>
  <connection id="21" name="(Default) XLS_TAB_17_1" type="1" refreshedVersion="4" minRefreshableVersion="3" savePassword="1" saveData="1">
    <dbPr connection="DSN=VITAL_DB;UID=md_qry;PWD=md4421;SERVER=DEV;" command="SELECT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17 X_x000d__x000a_   WHERE   X.BULLTEN_YEAR = ? AND X.CAT_QATRI_NQATRI_TOT = 1_x000d__x000a_ORDER BY   X.ROW_ORDER"/>
    <parameters count="1">
      <parameter name="Parameter1" parameterType="cell" refreshOnChange="1" cell="Sheet1!$B$1"/>
    </parameters>
  </connection>
  <connection id="22" name="(Default) XLS_TAB_17_2" type="1" refreshedVersion="4" minRefreshableVersion="3" savePassword="1" saveData="1">
    <dbPr connection="DSN=VITAL_DB;UID=md_qry;PWD=md4421;SERVER=DEV;" command="SELECT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17 X_x000d__x000a_   WHERE   X.BULLTEN_YEAR = ? AND X.CAT_QATRI_NQATRI_TOT = 2_x000d__x000a_ORDER BY   X.ROW_ORDER"/>
    <parameters count="1">
      <parameter name="Parameter1" parameterType="cell" refreshOnChange="1" cell="Sheet1!$B$1"/>
    </parameters>
  </connection>
  <connection id="23" name="(Default) XLS_TAB_17_3" type="1" refreshedVersion="4" minRefreshableVersion="3" savePassword="1" saveData="1">
    <dbPr connection="DSN=VITAL_DB;UID=md_qry;PWD=md4421;SERVER=DEV;" command="SELECT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17 X_x000d__x000a_   WHERE   X.BULLTEN_YEAR = ? AND X.CAT_QATRI_NQATRI_TOT =3_x000d__x000a_ORDER BY   X.ROW_ORDER"/>
    <parameters count="1">
      <parameter name="Parameter1" parameterType="cell" refreshOnChange="1" cell="Sheet1!$B$1"/>
    </parameters>
  </connection>
  <connection id="24" name="(Default) XLS_TAB_18_1" type="1" refreshedVersion="4" minRefreshableVersion="3" savePassword="1" saveData="1">
    <dbPr connection="DSN=VITAL_DB;UID=md_qry;PWD=md4421;SERVER=DEV;" command="SELECT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18 X_x000d__x000a_   WHERE   X.BULLTEN_YEAR = ? AND X.CAT_QATRI_NQATRI_TOT = 1_x000d__x000a_ORDER BY   X.ROW_ORDER"/>
    <parameters count="1">
      <parameter name="Parameter1" parameterType="cell" refreshOnChange="1" cell="Sheet1!$B$1"/>
    </parameters>
  </connection>
  <connection id="25" name="(Default) XLS_TAB_18_2" type="1" refreshedVersion="4" minRefreshableVersion="3" savePassword="1" saveData="1">
    <dbPr connection="DSN=VITAL_DB;UID=md_qry;PWD=md4421;SERVER=DEV;" command="SELECT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18 X_x000d__x000a_   WHERE   X.BULLTEN_YEAR = ? AND X.CAT_QATRI_NQATRI_TOT =2_x000d__x000a_ORDER BY   X.ROW_ORDER"/>
    <parameters count="1">
      <parameter name="Parameter1" parameterType="cell" refreshOnChange="1" cell="Sheet1!$B$1"/>
    </parameters>
  </connection>
  <connection id="26" name="(Default) XLS_TAB_18_3" type="1" refreshedVersion="4" minRefreshableVersion="3" savePassword="1" saveData="1">
    <dbPr connection="DSN=VITAL_DB;UID=md_qry;PWD=md4421;SERVER=DEV;" command="SELECT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18 X_x000d__x000a_   WHERE   X.BULLTEN_YEAR = ? AND X.CAT_QATRI_NQATRI_TOT =3_x000d__x000a_ORDER BY   X.ROW_ORDER"/>
    <parameters count="1">
      <parameter name="Parameter1" parameterType="cell" refreshOnChange="1" cell="Sheet1!$B$1"/>
    </parameters>
  </connection>
  <connection id="27" name="(Default) XLS_TAB_19" type="1" refreshedVersion="4" minRefreshableVersion="3" savePassword="1" saveData="1">
    <dbPr connection="DSN=VITAL_DB;UID=md_qry;PWD=md4421;SERVER=DEV;" command="SELECT   X.CNT_0,_x000d__x000a_           X.CNT_1,_x000d__x000a_           X.CNT_2,_x000d__x000a_           X.CNT_3,_x000d__x000a_           X.CNT_4,_x000d__x000a_           X.CNT_5,_x000d__x000a_           X.CNT_6,_x000d__x000a_           X.NOT_STATED_x000d__x000a_    FROM   MIGRATE.XLS_TAB_19 X_x000d__x000a_   WHERE   X.BULLTEN_YEAR = ? _x000d__x000a_ORDER BY   X.ROW_ORDER,X.CASES_SONS"/>
    <parameters count="1">
      <parameter name="Parameter1" parameterType="cell" refreshOnChange="1" cell="Sheet1!$B$1"/>
    </parameters>
  </connection>
  <connection id="28" name="(Default) XLS_TAB_2" type="1" refreshedVersion="4" minRefreshableVersion="3" savePassword="1" saveData="1">
    <dbPr connection="DSN=VITAL_DB;UID=md_qry;PWD=md4421;SERVER=dev;" command="SELECT _x000d__x000a_X.YEAR_AR, X.M_QTRI_COUNT, X.M_NQTRI_COUNT, _x000d__x000a_   X.M_QTRI_TOT_COUNT, X.M_QTRI_W_COUNT , X.M_NQTRI_W_COUNT , X.M_QTRI_TOT_COUNT ,X.D_QTRI_COUNT, X.D_NQTRI_COUNT, _x000d__x000a_   X.D_QTRI_TOT_COUNT, X.D_QTRI_W_COUNT, X.D_NQTRI_W_COUNT,   X.D_QTRI_TOT_COUNT,X.YEAR_ENG _x000d__x000a_FROM XLS_TAB_2 X where X.BULLTEN_YEAR=?  AND X.YEAR_ENG BETWEEN  X.BULLTEN_YEAR - 5 AND X.BULLTEN_YEAR - 1"/>
    <parameters count="1">
      <parameter name="Parameter1" parameterType="cell" refreshOnChange="1" cell="Sheet1!$B$1"/>
    </parameters>
  </connection>
  <connection id="29" name="(Default) XLS_TAB_20" type="1" refreshedVersion="4" minRefreshableVersion="3" savePassword="1" saveData="1">
    <dbPr connection="DSN=VITAL_DB;UID=md_qry;PWD=md4421;SERVER=DEV;" command="SELECT   X.CNT_0,_x000d__x000a_           X.CNT_1,_x000d__x000a_           X.CNT_2,_x000d__x000a_           X.CNT_3,_x000d__x000a_           X.CNT_4,_x000d__x000a_           X.CNT_5,_x000d__x000a_           X.CNT_6,_x000d__x000a_           X.NOT_STATED_x000d__x000a_    FROM  XLS_TAB_20 X_x000d__x000a_   WHERE   X.BULLTEN_YEAR = ?_x000d__x000a_ORDER BY   X.ROW_ORDER, X.CASES_SONS"/>
    <parameters count="1">
      <parameter name="Parameter1" parameterType="cell" refreshOnChange="1" cell="Sheet1!$B$1"/>
    </parameters>
  </connection>
  <connection id="30" name="(Default) XLS_TAB_23" type="1" refreshedVersion="4" minRefreshableVersion="3" savePassword="1" saveData="1">
    <dbPr connection="DSN=VITAL_DB;UID=md_qry;PWD=md4421;SERVER=DEV;" command="SELECT   X.M_QTRI_COUNT,_x000d__x000a_           X.M_NQTRI_COUNT,_x000d__x000a_           X.M_QTRI_TOT_COUNT,_x000d__x000a_           X.W_QTRI_COUNT,_x000d__x000a_           X.W_NQTRI_COUNT,_x000d__x000a_           X.W_QTRI_TOT_COUNT_x000d__x000a_    FROM   XLS_TAB_23 X_x000d__x000a_   WHERE   X.BULLTEN_YEAR = ?_x000d__x000a_ORDER BY   X.ROW_ORDER"/>
    <parameters count="1">
      <parameter name="Parameter1" parameterType="cell" refreshOnChange="1" cell="Sheet1!$B$1"/>
    </parameters>
  </connection>
  <connection id="31" name="(Default) XLS_TAB_24"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XLS_TAB_24 X_x000d__x000a_   WHERE   X.BULLTEN_YEAR = ?_x000d__x000a_ORDER BY   X.ROW_ORDER"/>
    <parameters count="1">
      <parameter name="Parameter1" parameterType="cell" refreshOnChange="1" cell="Sheet1!$B$1"/>
    </parameters>
  </connection>
  <connection id="32" name="(Default) XLS_TAB_25_1"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MIGRATE.XLS_TAB_25 X_x000d__x000a_   WHERE   X.BULLTEN_YEAR = ? AND X.CAT_QATRI_NQATRI_TOT=1_x000d__x000a_   ORDER BY   X.ROW_ORDER"/>
    <parameters count="1">
      <parameter name="Parameter1" parameterType="cell" refreshOnChange="1" cell="Sheet1!$B$1"/>
    </parameters>
  </connection>
  <connection id="33" name="(Default) XLS_TAB_25_2"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MIGRATE.XLS_TAB_25 X_x000d__x000a_   WHERE   X.BULLTEN_YEAR = ? AND X.CAT_QATRI_NQATRI_TOT=2_x000d__x000a_   ORDER BY   X.ROW_ORDER"/>
    <parameters count="1">
      <parameter name="Parameter1" parameterType="cell" refreshOnChange="1" cell="Sheet1!$B$1"/>
    </parameters>
  </connection>
  <connection id="34" name="(Default) XLS_TAB_25_3"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MIGRATE.XLS_TAB_25 X_x000d__x000a_   WHERE   X.BULLTEN_YEAR = ? AND X.CAT_QATRI_NQATRI_TOT=3_x000d__x000a_   ORDER BY   X.ROW_ORDER"/>
    <parameters count="1">
      <parameter name="Parameter1" parameterType="cell" refreshOnChange="1" cell="Sheet1!$B$1"/>
    </parameters>
  </connection>
  <connection id="35" name="(Default) XLS_TAB_26_2" type="1" refreshedVersion="4" minRefreshableVersion="3" savePassword="1" saveData="1">
    <dbPr connection="DSN=VITAL_DB;UID=md_qry;PWD=md4421;SERVER=DEV;" command="SELECT   X.BAAN_SMALLERQATAR,_x000d__x000a_           X.RAJEE,_x000d__x000a_           X.KHULLA,_x000d__x000a_           X.BAAN_GREATER,_x000d__x000a_           X.TOTAL_x000d__x000a_    FROM   XLS_TAB_26 X_x000d__x000a_   WHERE   X.BULLTEN_YEAR = ? AND X.CAT_QATRI_NQATRI_TOT = 2_x000d__x000a_ORDER BY   X.ROW_ORDER"/>
    <parameters count="1">
      <parameter name="Parameter1" parameterType="cell" refreshOnChange="1" cell="Sheet1!$B$1"/>
    </parameters>
  </connection>
  <connection id="36" name="(Default) XLS_TAB_26_21" type="1" refreshedVersion="4" minRefreshableVersion="3" savePassword="1" saveData="1">
    <dbPr connection="DSN=VITAL_DB;UID=md_qry;PWD=md4421;SERVER=DEV;" command="SELECT   X.BAAN_SMALLERQATAR,_x000d__x000a_           X.RAJEE,_x000d__x000a_           X.KHULLA,_x000d__x000a_           X.BAAN_GREATER,_x000d__x000a_           X.TOTAL_x000d__x000a_    FROM   XLS_TAB_26 X_x000d__x000a_   WHERE   X.BULLTEN_YEAR = ? AND X.CAT_QATRI_NQATRI_TOT = 1_x000d__x000a_ORDER BY   X.ROW_ORDER"/>
    <parameters count="1">
      <parameter name="Parameter1" parameterType="cell" refreshOnChange="1" cell="Sheet1!$B$1"/>
    </parameters>
  </connection>
  <connection id="37" name="(Default) XLS_TAB_26_22" type="1" refreshedVersion="4" minRefreshableVersion="3" savePassword="1" saveData="1">
    <dbPr connection="DSN=VITAL_DB;UID=md_qry;PWD=md4421;SERVER=DEV;" command="SELECT   X.BAAN_SMALLERQATAR,_x000d__x000a_           X.RAJEE,_x000d__x000a_           X.KHULLA,_x000d__x000a_           X.BAAN_GREATER,_x000d__x000a_           X.TOTAL_x000d__x000a_    FROM   XLS_TAB_26 X_x000d__x000a_   WHERE   X.BULLTEN_YEAR = ? AND X.CAT_QATRI_NQATRI_TOT = 3_x000d__x000a_ORDER BY   X.ROW_ORDER"/>
    <parameters count="1">
      <parameter name="Parameter1" parameterType="cell" refreshOnChange="1" cell="Sheet1!$B$1"/>
    </parameters>
  </connection>
  <connection id="38" name="(Default) XLS_TAB_27_1"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XLS_TAB_27 X_x000d__x000a_   WHERE   X.BULLTEN_YEAR = ? AND X.CAT_QATRI_NQATRI_TOT = 1_x000d__x000a_ORDER BY   X.ROW_ORDER"/>
    <parameters count="1">
      <parameter name="Parameter1" parameterType="cell" refreshOnChange="1" cell="Sheet1!$B$1"/>
    </parameters>
  </connection>
  <connection id="39" name="(Default) XLS_TAB_27_11"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XLS_TAB_27 X_x000d__x000a_   WHERE   X.BULLTEN_YEAR = ? AND X.CAT_QATRI_NQATRI_TOT = 2_x000d__x000a_ORDER BY   X.ROW_ORDER"/>
    <parameters count="1">
      <parameter name="Parameter1" parameterType="cell" refreshOnChange="1" cell="Sheet1!$B$1"/>
    </parameters>
  </connection>
  <connection id="40" name="(Default) XLS_TAB_27_21" type="1" refreshedVersion="4" minRefreshableVersion="3" savePassword="1" saveData="1">
    <dbPr connection="DSN=VITAL_DB;UID=md_qry;PWD=md4421;SERVER=dev;" command="SELECT   _x000d__x000a_         X.BAAN_SMALLER_CNT,_x000d__x000a_         X.RAJEE_CNT,_x000d__x000a_         X.KHULLA_CNT,_x000d__x000a_         X.BAAN_GREATER_CNT,_x000d__x000a_         X.TOTAL_x000d__x000a_         FROM   XLS_TAB_27_2 X_x000d__x000a_WHERE   X.BULLTEN_YEAR = ?_x000d__x000a_ORDER BY   X.ROW_ORDER"/>
    <parameters count="1">
      <parameter name="Parameter1" parameterType="cell" refreshOnChange="1" cell="Sheet1!$B$1"/>
    </parameters>
  </connection>
  <connection id="41" name="(Default) XLS_TAB_27_22" type="1" refreshedVersion="4" minRefreshableVersion="3" savePassword="1" saveData="1">
    <dbPr connection="DSN=VITAL_DB;UID=md_qry;PWD=md4421;SERVER=dev;" command="SELECT   X.MARR_PRD_ARB,_x000d__x000a_         X.QATARI_SON_CNT,_x000d__x000a_         X.NON_QATARI_SON_CNT,_x000d__x000a_         X.TOTAL,_x000d__x000a_         X.MARR_PRD_ENG_x000d__x000a_  FROM   XLS_TAB_47 X_x000d__x000a_WHERE   X.BULLTEN_YEAR = ?_x000d__x000a_ORDER BY   X.ROW_ORDER"/>
    <parameters count="1">
      <parameter name="Parameter1" parameterType="cell" refreshOnChange="1" cell="Sheet1!$B$1"/>
    </parameters>
  </connection>
  <connection id="42" name="(Default) XLS_TAB_27_3"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XLS_TAB_27 X_x000d__x000a_   WHERE   X.BULLTEN_YEAR = ? AND X.CAT_QATRI_NQATRI_TOT =3_x000d__x000a_ORDER BY   X.ROW_ORDER"/>
    <parameters count="1">
      <parameter name="Parameter1" parameterType="cell" refreshOnChange="1" cell="Sheet1!$B$1"/>
    </parameters>
  </connection>
  <connection id="43" name="(Default) XLS_TAB_28_1" type="1" refreshedVersion="4" minRefreshableVersion="3" savePassword="1" saveData="1">
    <dbPr connection="DSN=VITAL_DB;UID=md_qry;PWD=md4421;SERVER=DEV;" command="SELECT   X.BAAN_SMALLERQATAR,_x000d__x000a_           X.RAJEE,_x000d__x000a_           X.KHULLA,_x000d__x000a_           X.BAAN_GREATER,_x000d__x000a_           X.TOTAL_x000d__x000a_    FROM   XLS_TAB_28 X_x000d__x000a_   WHERE   X.BULLTEN_YEAR = ? AND X.CAT_QATRI_NQATRI_TOT = 1_x000d__x000a_ORDER BY   X.ROW_ORDER"/>
    <parameters count="1">
      <parameter name="Parameter1" parameterType="cell" refreshOnChange="1" cell="Sheet1!$B$1"/>
    </parameters>
  </connection>
  <connection id="44" name="(Default) XLS_TAB_28_11" type="1" refreshedVersion="4" minRefreshableVersion="3" savePassword="1" saveData="1">
    <dbPr connection="DSN=VITAL_DB;UID=md_qry;PWD=md4421;SERVER=DEV;" command="SELECT   X.BAAN_SMALLERQATAR,_x000d__x000a_           X.RAJEE,_x000d__x000a_           X.KHULLA,_x000d__x000a_           X.BAAN_GREATER,_x000d__x000a_           X.TOTAL_x000d__x000a_    FROM   XLS_TAB_28 X_x000d__x000a_   WHERE   X.BULLTEN_YEAR = ? AND X.CAT_QATRI_NQATRI_TOT = 2_x000d__x000a_ORDER BY   X.ROW_ORDER"/>
    <parameters count="1">
      <parameter name="Parameter1" parameterType="cell" refreshOnChange="1" cell="Sheet1!$B$1"/>
    </parameters>
  </connection>
  <connection id="45" name="(Default) XLS_TAB_28_3" type="1" refreshedVersion="4" minRefreshableVersion="3" savePassword="1" saveData="1">
    <dbPr connection="DSN=VITAL_DB;UID=md_qry;PWD=md4421;SERVER=DEV;" command="SELECT   X.BAAN_SMALLERQATAR,_x000d__x000a_           X.RAJEE,_x000d__x000a_           X.KHULLA,_x000d__x000a_           X.BAAN_GREATER,_x000d__x000a_           X.TOTAL_x000d__x000a_    FROM   XLS_TAB_28 X_x000d__x000a_   WHERE   X.BULLTEN_YEAR = ? AND X.CAT_QATRI_NQATRI_TOT = 3_x000d__x000a_ORDER BY   X.ROW_ORDER"/>
    <parameters count="1">
      <parameter name="Parameter1" parameterType="cell" refreshOnChange="1" cell="Sheet1!$B$1"/>
    </parameters>
  </connection>
  <connection id="46" name="(Default) XLS_TAB_29_1"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XLS_TAB_29 X_x000d__x000a_   WHERE   X.BULLTEN_YEAR = ? AND X.CAT_QATRI_NQATRI_TOT = 1_x000d__x000a_ORDER BY   X.ROW_ORDER"/>
    <parameters count="1">
      <parameter name="Parameter1" parameterType="cell" refreshOnChange="1" cell="Sheet1!$B$1"/>
    </parameters>
  </connection>
  <connection id="47" name="(Default) XLS_TAB_29_2"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XLS_TAB_29 X_x000d__x000a_   WHERE   X.BULLTEN_YEAR = ? AND X.CAT_QATRI_NQATRI_TOT = 2_x000d__x000a_ORDER BY   X.ROW_ORDER"/>
    <parameters count="1">
      <parameter name="Parameter1" parameterType="cell" refreshOnChange="1" cell="Sheet1!$B$1"/>
    </parameters>
  </connection>
  <connection id="48" name="(Default) XLS_TAB_29_3"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XLS_TAB_29 X_x000d__x000a_   WHERE   X.BULLTEN_YEAR = ? AND X.CAT_QATRI_NQATRI_TOT =3_x000d__x000a_ORDER BY   X.ROW_ORDER"/>
    <parameters count="1">
      <parameter name="Parameter1" parameterType="cell" refreshOnChange="1" cell="Sheet1!$B$1"/>
    </parameters>
  </connection>
  <connection id="49" name="(Default) XLS_TAB_30_2" type="1" refreshedVersion="4" minRefreshableVersion="3" savePassword="1" saveData="1">
    <dbPr connection="DSN=VITAL_DB;UID=md_qry;PWD=md4421;SERVER=dev;" command="SELECT   x.MARRD_PRD_HUSBD_ARB,_x000d__x000a_           X.CAT_1_HSB_CNT,_x000d__x000a_           X.CAT_1_WFE_CNT,_x000d__x000a_           X.CAT_2_HSB_CNT,_x000d__x000a_           X.CAT_2_WFE_CNT,_x000d__x000a_           X.CAT_3_HSB_CNT,_x000d__x000a_           X.CAT_3_WFE_CNT,_x000d__x000a_           X.CAT_4_HSB_CNT,_x000d__x000a_           X.CAT_4_WFE_CNT,_x000d__x000a_           X.TOT_HSB_CNT,_x000d__x000a_           X.TOT_WFE_CNT,_x000d__x000a_           X.TOT_NOTSTAT_CNT,_x000d__x000a_           X.G_TOTAL,_x000d__x000a_           X.MARRD_PRD_HUSBD_ENG_x000d__x000a_    FROM   XLS_TAB_30_2 X_x000d__x000a_   WHERE   X.BULLTEN_YEAR = ?_x000d__x000a_ORDER BY   X.ROW_ORDER"/>
    <parameters count="1">
      <parameter name="Parameter1" parameterType="cell" refreshOnChange="1" cell="Sheet1!$B$1"/>
    </parameters>
  </connection>
  <connection id="50" name="(Default) XLS_TAB_30_3"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MIGRATE.XLS_TAB_30 X_x000d__x000a_   WHERE   X.BULLTEN_YEAR = ? AND X.CAT_QATRI_NQATRI_TOT = 3_x000d__x000a_ORDER BY   X.ROW_ORDER"/>
    <parameters count="1">
      <parameter name="Parameter1" parameterType="cell" refreshOnChange="1" cell="Sheet1!$B$1"/>
    </parameters>
  </connection>
  <connection id="51" name="(Default) XLS_TAB_30_31"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MIGRATE.XLS_TAB_30 X_x000d__x000a_   WHERE   X.BULLTEN_YEAR = ? AND X.CAT_QATRI_NQATRI_TOT = 2_x000d__x000a_ORDER BY   X.ROW_ORDER"/>
    <parameters count="1">
      <parameter name="Parameter1" parameterType="cell" refreshOnChange="1" cell="Sheet1!$B$1"/>
    </parameters>
  </connection>
  <connection id="52" name="(Default) XLS_TAB_30_32"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MIGRATE.XLS_TAB_30 X_x000d__x000a_   WHERE   X.BULLTEN_YEAR = ? AND X.CAT_QATRI_NQATRI_TOT = 1_x000d__x000a_ORDER BY   X.ROW_ORDER"/>
    <parameters count="1">
      <parameter name="Parameter1" parameterType="cell" refreshOnChange="1" cell="Sheet1!$B$1"/>
    </parameters>
  </connection>
  <connection id="53" name="(Default) XLS_TAB_31_1" type="1" refreshedVersion="4" minRefreshableVersion="3" savePassword="1" saveData="1">
    <dbPr connection="DSN=VITAL_DB;UID=md_qry;PWD=md4421;SERVER=DEV;" command="SELECT   _x000d__x000a_         X.AGE_LEVEL_ARB,_x000d__x000a_         X.CNT_BELOW_20,_x000d__x000a_         X.CNT_20_24,_x000d__x000a_         X.CNT_25_29,_x000d__x000a_         X.CNT_30_34,_x000d__x000a_         X.CNT_35_39,_x000d__x000a_         X.CNT_40_44,_x000d__x000a_         X.CNT_45_49,_x000d__x000a_         X.CNT_50_54,_x000d__x000a_         X.CNT_55_59,_x000d__x000a_         X.CNT_UP_60,_x000d__x000a_         X.NOT_STATED,_x000d__x000a_         X.TOTAL,_x000d__x000a_         X.AGE_LEVEL_ENG_x000d__x000a_  FROM   MIGRATE.XLS_TAB_31 X_x000d__x000a_  WHERE X.BULLTEN_YEAR=? AND X.CAT_QATRI_NQATRI_TOT=1_x000d__x000a_  ORDER BY X.ROW_ORDER"/>
    <parameters count="1">
      <parameter name="Parameter1" parameterType="cell" refreshOnChange="1" cell="Sheet1!$B$1"/>
    </parameters>
  </connection>
  <connection id="54" name="(Default) XLS_TAB_31_2" type="1" refreshedVersion="4" minRefreshableVersion="3" savePassword="1" saveData="1">
    <dbPr connection="DSN=VITAL_DB;UID=md_qry;PWD=md4421;SERVER=DEV;" command="SELECT   _x000d__x000a_         X.AGE_LEVEL_ARB,_x000d__x000a_         X.CNT_BELOW_20,_x000d__x000a_         X.CNT_20_24,_x000d__x000a_         X.CNT_25_29,_x000d__x000a_         X.CNT_30_34,_x000d__x000a_         X.CNT_35_39,_x000d__x000a_         X.CNT_40_44,_x000d__x000a_         X.CNT_45_49,_x000d__x000a_         X.CNT_50_54,_x000d__x000a_         X.CNT_55_59,_x000d__x000a_         X.CNT_UP_60,_x000d__x000a_         X.NOT_STATED,_x000d__x000a_         X.TOTAL,_x000d__x000a_         X.AGE_LEVEL_ENG_x000d__x000a_  FROM   MIGRATE.XLS_TAB_31 X_x000d__x000a_  WHERE X.BULLTEN_YEAR=? AND X.CAT_QATRI_NQATRI_TOT=2_x000d__x000a_  ORDER BY X.ROW_ORDER"/>
    <parameters count="1">
      <parameter name="Parameter1" parameterType="cell" refreshOnChange="1" cell="Sheet1!$B$1"/>
    </parameters>
  </connection>
  <connection id="55" name="(Default) XLS_TAB_31_3" type="1" refreshedVersion="4" minRefreshableVersion="3" savePassword="1" saveData="1">
    <dbPr connection="DSN=VITAL_DB;UID=md_qry;PWD=md4421;SERVER=DEV;" command="SELECT   _x000d__x000a_         X.AGE_LEVEL_ARB,_x000d__x000a_         X.CNT_BELOW_20,_x000d__x000a_         X.CNT_20_24,_x000d__x000a_         X.CNT_25_29,_x000d__x000a_         X.CNT_30_34,_x000d__x000a_         X.CNT_35_39,_x000d__x000a_         X.CNT_40_44,_x000d__x000a_         X.CNT_45_49,_x000d__x000a_         X.CNT_50_54,_x000d__x000a_         X.CNT_55_59,_x000d__x000a_         X.CNT_UP_60,_x000d__x000a_         X.NOT_STATED,_x000d__x000a_         X.TOTAL,_x000d__x000a_         X.AGE_LEVEL_ENG_x000d__x000a_  FROM   MIGRATE.XLS_TAB_31 X_x000d__x000a_  WHERE X.BULLTEN_YEAR=? AND X.CAT_QATRI_NQATRI_TOT=3_x000d__x000a_  ORDER BY X.ROW_ORDER"/>
    <parameters count="1">
      <parameter name="Parameter1" parameterType="cell" refreshOnChange="1" cell="Sheet1!$B$1"/>
    </parameters>
  </connection>
  <connection id="56" name="(Default) XLS_TAB_32" type="1" refreshedVersion="4" minRefreshableVersion="3" savePassword="1" saveData="1">
    <dbPr connection="DSN=VITAL_DB;UID=md_qry;PWD=md4421;SERVER=DEV;" command="SELECT  _x000d__x000a_           X.AREA_ARB,_x000d__x000a_           X.CNT_BELOW_20,_x000d__x000a_           X.CNT_20_24,_x000d__x000a_           X.CNT_25_29,_x000d__x000a_           X.CNT_30_34,_x000d__x000a_           X.CNT_35_39,_x000d__x000a_           X.CNT_40_44,_x000d__x000a_           X.CNT_45_49,_x000d__x000a_           X.CNT_50_54,_x000d__x000a_           X.CNT_55_59,_x000d__x000a_           X.CNT_60_64,_x000d__x000a_           X.CNT_65_69,_x000d__x000a_           X.CNT_70_74,_x000d__x000a_           X.CNT_UP_75,_x000d__x000a_           X.NOT_STATED,_x000d__x000a_           X.TOTAL,_x000d__x000a_           X.AREA_ENG_x000d__x000a_    FROM   XLS_TAB_32 X_x000d__x000a_   WHERE   X.BULLTEN_YEAR = ? _x000d__x000a_ORDER BY   X.ROW_ORDER"/>
    <parameters count="1">
      <parameter name="Parameter1" parameterType="cell" refreshOnChange="1" cell="Sheet1!$B$1"/>
    </parameters>
  </connection>
  <connection id="57" name="(Default) XLS_TAB_33" type="1" refreshedVersion="4" minRefreshableVersion="3" savePassword="1" saveData="1">
    <dbPr connection="DSN=VITAL_DB;UID=md_qry;PWD=md4421;SERVER=DEV;" command="SELECT  _x000d__x000a_           X.AREA_ARB,_x000d__x000a_           X.CNT_BELOW_20,_x000d__x000a_           X.CNT_20_24,_x000d__x000a_           X.CNT_25_29,_x000d__x000a_           X.CNT_30_34,_x000d__x000a_           X.CNT_35_39,_x000d__x000a_           X.CNT_40_44,_x000d__x000a_           X.CNT_45_49,_x000d__x000a_           X.CNT_50_54,_x000d__x000a_           X.CNT_55_59,_x000d__x000a_           X.CNT_UP_60,_x000d__x000a_           X.NOT_STATED,_x000d__x000a_           X.TOTAL,_x000d__x000a_           X.AREA_ENG_x000d__x000a_    FROM   XLS_TAB_33 X_x000d__x000a_   WHERE   X.BULLTEN_YEAR = ?_x000d__x000a_ORDER BY   X.ROW_ORDER"/>
    <parameters count="1">
      <parameter name="Parameter1" parameterType="cell" refreshOnChange="1" cell="Sheet1!$B$1"/>
    </parameters>
  </connection>
  <connection id="58" name="(Default) XLS_TAB_34" type="1" refreshedVersion="4" minRefreshableVersion="3" savePassword="1" saveData="1">
    <dbPr connection="DSN=VITAL_DB;UID=md_qry;PWD=md4421;SERVER=DEV;" command="SELECT  _x000d__x000a_           X.QATAR,_x000d__x000a_           X.OTHER_G_C_C_COUNTRIES,_x000d__x000a_           X.OTHER_ARAB_COUNTRIES,_x000d__x000a_           X.ASIAN_COUNTRIES,_x000d__x000a_           X.EUROPEAN_COUNTRIES,_x000d__x000a_           X.OTHER_COUNTRIES,_x000d__x000a_           X.TOTAL_x000d__x000a_    FROM   XLS_TAB_34 X_x000d__x000a_   WHERE   X.BULLTEN_YEAR = ?_x000d__x000a_ORDER BY   X.ROW_ORDER"/>
    <parameters count="1">
      <parameter name="Parameter1" parameterType="cell" refreshOnChange="1" cell="Sheet1!$B$1"/>
    </parameters>
  </connection>
  <connection id="59" name="(Default) XLS_TAB_35" type="1" refreshedVersion="4" minRefreshableVersion="3" savePassword="1" saveData="1">
    <dbPr connection="DSN=VITAL_DB;UID=md_qry;PWD=md4421;SERVER=DEV;" command="SELECT   X.AGE_LEVEL_ARB,_x000d__x000a_           X.Q_NONE_CNT,_x000d__x000a_           X.Q_1_CNT,_x000d__x000a_           X.Q_2_CNT,_x000d__x000a_           X.Q_4_CNT,_x000d__x000a_           X.Q_NOT_STATED,_x000d__x000a_           X.Q_TOT_CNT,_x000d__x000a_           X.NQ_NONE_CNT,_x000d__x000a_           X.NQ_1_CNT,_x000d__x000a_           X.NQ_2_CNT,_x000d__x000a_           X.NQ_4_CNT,_x000d__x000a_           X.NQ_NOT_STATED,_x000d__x000a_           X.NQ_TOT_CNT,_x000d__x000a_           X.AGE_LEVEL_ENG_x000d__x000a_    FROM   XLS_TAB_35 X_x000d__x000a_   WHERE   X.BULLTEN_YEAR = ?_x000d__x000a_ORDER BY   X.ROW_ORDER"/>
    <parameters count="1">
      <parameter name="Parameter1" parameterType="cell" refreshOnChange="1" cell="Sheet1!$B$1"/>
    </parameters>
  </connection>
  <connection id="60" name="(Default) XLS_TAB_36_1"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XLS_TAB_36 X_x000d__x000a_   WHERE   X.BULLTEN_YEAR = ? AND X.CAT_QATRI_NQATRI_TOT=1_x000d__x000a_ORDER BY   X.ROW_ORDER"/>
    <parameters count="1">
      <parameter name="Parameter1" parameterType="cell" refreshOnChange="1" cell="Sheet1!$B$1"/>
    </parameters>
  </connection>
  <connection id="61" name="(Default) XLS_TAB_36_2"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XLS_TAB_36 X_x000d__x000a_   WHERE   X.BULLTEN_YEAR = ? AND X.CAT_QATRI_NQATRI_TOT=2_x000d__x000a_ORDER BY   X.ROW_ORDER"/>
    <parameters count="1">
      <parameter name="Parameter1" parameterType="cell" refreshOnChange="1" cell="Sheet1!$B$1"/>
    </parameters>
  </connection>
  <connection id="62" name="(Default) XLS_TAB_36_3"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XLS_TAB_36 X_x000d__x000a_   WHERE   X.BULLTEN_YEAR = ? AND X.CAT_QATRI_NQATRI_TOT=3_x000d__x000a_ORDER BY   X.ROW_ORDER"/>
    <parameters count="1">
      <parameter name="Parameter1" parameterType="cell" refreshOnChange="1" cell="Sheet1!$B$1"/>
    </parameters>
  </connection>
  <connection id="63" name="(Default) XLS_TAB_37_1"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MIGRATE.XLS_TAB_37 X_x000d__x000a_   WHERE   X.BULLTEN_YEAR = ? AND X.CAT_QATRI_NQATRI_TOT = 1_x000d__x000a_ORDER BY   X.ROW_ORDER"/>
    <parameters count="1">
      <parameter name="Parameter1" parameterType="cell" refreshOnChange="1" cell="Sheet1!$B$1"/>
    </parameters>
  </connection>
  <connection id="64" name="(Default) XLS_TAB_37_2"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MIGRATE.XLS_TAB_37 X_x000d__x000a_   WHERE   X.BULLTEN_YEAR = ? AND X.CAT_QATRI_NQATRI_TOT =2_x000d__x000a_ORDER BY   X.ROW_ORDER"/>
    <parameters count="1">
      <parameter name="Parameter1" parameterType="cell" refreshOnChange="1" cell="Sheet1!$B$1"/>
    </parameters>
  </connection>
  <connection id="65" name="(Default) XLS_TAB_37_3"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MIGRATE.XLS_TAB_37 X_x000d__x000a_   WHERE   X.BULLTEN_YEAR = ? AND X.CAT_QATRI_NQATRI_TOT =3_x000d__x000a_ORDER BY   X.ROW_ORDER"/>
    <parameters count="1">
      <parameter name="Parameter1" parameterType="cell" refreshOnChange="1" cell="Sheet1!$B$1"/>
    </parameters>
  </connection>
  <connection id="66" name="(Default) XLS_TAB_38_1" type="1" refreshedVersion="4" minRefreshableVersion="3" savePassword="1" saveData="1">
    <dbPr connection="DSN=VITAL_DB;UID=md_qry;PWD=md4421;SERVER=DEV;" command="SELECT   _x000d__x000a_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38 X_x000d__x000a_   WHERE   X.BULLTEN_YEAR = ? AND X.CAT_QATRI_NQATRI_TOT = 1_x000d__x000a_ORDER BY   X.ROW_ORDER"/>
    <parameters count="1">
      <parameter name="Parameter1" parameterType="cell" refreshOnChange="1" cell="Sheet1!$B$1"/>
    </parameters>
  </connection>
  <connection id="67" name="(Default) XLS_TAB_38_2" type="1" refreshedVersion="4" minRefreshableVersion="3" savePassword="1" saveData="1">
    <dbPr connection="DSN=VITAL_DB;UID=md_qry;PWD=md4421;SERVER=DEV;" command="SELECT   _x000d__x000a_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38 X_x000d__x000a_   WHERE   X.BULLTEN_YEAR = ? AND X.CAT_QATRI_NQATRI_TOT =2_x000d__x000a_ORDER BY   X.ROW_ORDER"/>
    <parameters count="1">
      <parameter name="Parameter1" parameterType="cell" refreshOnChange="1" cell="Sheet1!$B$1"/>
    </parameters>
  </connection>
  <connection id="68" name="(Default) XLS_TAB_38_3" type="1" refreshedVersion="4" minRefreshableVersion="3" savePassword="1" saveData="1">
    <dbPr connection="DSN=VITAL_DB;UID=md_qry;PWD=md4421;SERVER=DEV;" command="SELECT   _x000d__x000a_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38 X_x000d__x000a_   WHERE   X.BULLTEN_YEAR = ? AND X.CAT_QATRI_NQATRI_TOT =3_x000d__x000a_ORDER BY   X.ROW_ORDER"/>
    <parameters count="1">
      <parameter name="Parameter1" parameterType="cell" refreshOnChange="1" cell="Sheet1!$B$1"/>
    </parameters>
  </connection>
  <connection id="69" name="(Default) XLS_TAB_39_1"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39 X_x000d__x000a_   WHERE   X.BULLTEN_YEAR =? AND X.CAT_RELATION =1_x000d__x000a_ORDER BY   X.ROW_ORDER"/>
    <parameters count="1">
      <parameter name="Parameter1" parameterType="cell" refreshOnChange="1" cell="Sheet1!$B$1"/>
    </parameters>
  </connection>
  <connection id="70" name="(Default) XLS_TAB_39_2"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39 X_x000d__x000a_   WHERE   X.BULLTEN_YEAR =? AND X.CAT_RELATION =2_x000d__x000a_ORDER BY   X.ROW_ORDER"/>
    <parameters count="1">
      <parameter name="Parameter1" parameterType="cell" refreshOnChange="1" cell="Sheet1!$B$1"/>
    </parameters>
  </connection>
  <connection id="71" name="(Default) XLS_TAB_39_3"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39 X_x000d__x000a_   WHERE   X.BULLTEN_YEAR =? AND X.CAT_RELATION =3_x000d__x000a_ORDER BY   X.ROW_ORDER"/>
    <parameters count="1">
      <parameter name="Parameter1" parameterType="cell" refreshOnChange="1" cell="Sheet1!$B$1"/>
    </parameters>
  </connection>
  <connection id="72" name="(Default) XLS_TAB_40_1" type="1" refreshedVersion="4" minRefreshableVersion="3" savePassword="1" saveData="1">
    <dbPr connection="DSN=VITAL_DB;UID=md_qry;PWD=md4421;SERVER=DEV;" command="SELECT  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FROM   XLS_TAB_40 X_x000d__x000a_   WHERE   X.BULLTEN_YEAR = ? AND X.CAT_QATRI_NQATRI_TOT = 1_x000d__x000a_ORDER BY   X.ROW_ORDER"/>
    <parameters count="1">
      <parameter name="Parameter1" parameterType="cell" refreshOnChange="1" cell="Sheet1!$B$1"/>
    </parameters>
  </connection>
  <connection id="73" name="(Default) XLS_TAB_40_2" type="1" refreshedVersion="4" minRefreshableVersion="3" savePassword="1" saveData="1">
    <dbPr connection="DSN=VITAL_DB;UID=md_qry;PWD=md4421;SERVER=DEV;" command="SELECT  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FROM   XLS_TAB_40 X_x000d__x000a_   WHERE   X.BULLTEN_YEAR = ? AND X.CAT_QATRI_NQATRI_TOT =2_x000d__x000a_ORDER BY   X.ROW_ORDER"/>
    <parameters count="1">
      <parameter name="Parameter1" parameterType="cell" refreshOnChange="1" cell="Sheet1!$B$1"/>
    </parameters>
  </connection>
  <connection id="74" name="(Default) XLS_TAB_40_3" type="1" refreshedVersion="4" minRefreshableVersion="3" savePassword="1" saveData="1">
    <dbPr connection="DSN=VITAL_DB;UID=md_qry;PWD=md4421;SERVER=DEV;" command="SELECT  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FROM   XLS_TAB_40 X_x000d__x000a_   WHERE   X.BULLTEN_YEAR = ? AND X.CAT_QATRI_NQATRI_TOT =3_x000d__x000a_ORDER BY   X.ROW_ORDER"/>
    <parameters count="1">
      <parameter name="Parameter1" parameterType="cell" refreshOnChange="1" cell="Sheet1!$B$1"/>
    </parameters>
  </connection>
  <connection id="75" name="(Default) XLS_TAB_41_1" type="1" refreshedVersion="4" minRefreshableVersion="3" savePassword="1" saveData="1">
    <dbPr connection="DSN=VITAL_DB;UID=md_qry;PWD=md4421;SERVER=DEV;" command="SELECT   _x000d__x000a_         X.SON_CNT_0,_x000d__x000a_         X.SON_CNT_1,_x000d__x000a_         X.SON_CNT_2,_x000d__x000a_         X.SON_CNT_3,_x000d__x000a_         X.SON_CNT_4,_x000d__x000a_         X.SON_CNT_5,_x000d__x000a_         X.SON_CNT_UP_6,_x000d__x000a_         X.SON_CNT_NOT_STATED,_x000d__x000a_         X.TOTAL_x000d__x000a_  FROM   XLS_TAB_41 X_x000d__x000a_  WHERE  X.BULLTEN_YEAR=? AND X.CAT_QATRI_NQATRI_TOT=1_x000d__x000a_  ORDER BY X.ROW_ORDER"/>
    <parameters count="1">
      <parameter name="Parameter1" parameterType="cell" refreshOnChange="1" cell="Sheet1!$B$1"/>
    </parameters>
  </connection>
  <connection id="76" name="(Default) XLS_TAB_41_2" type="1" refreshedVersion="4" minRefreshableVersion="3" savePassword="1" saveData="1">
    <dbPr connection="DSN=VITAL_DB;UID=md_qry;PWD=md4421;SERVER=DEV;" command="SELECT   _x000d__x000a_         X.SON_CNT_0,_x000d__x000a_         X.SON_CNT_1,_x000d__x000a_         X.SON_CNT_2,_x000d__x000a_         X.SON_CNT_3,_x000d__x000a_         X.SON_CNT_4,_x000d__x000a_         X.SON_CNT_5,_x000d__x000a_         X.SON_CNT_UP_6,_x000d__x000a_         X.SON_CNT_NOT_STATED,_x000d__x000a_         X.TOTAL_x000d__x000a_  FROM   XLS_TAB_41 X_x000d__x000a_  WHERE  X.BULLTEN_YEAR=? AND X.CAT_QATRI_NQATRI_TOT=2_x000d__x000a_  ORDER BY X.ROW_ORDER"/>
    <parameters count="1">
      <parameter name="Parameter1" parameterType="cell" refreshOnChange="1" cell="Sheet1!$B$1"/>
    </parameters>
  </connection>
  <connection id="77" name="(Default) XLS_TAB_41_3" type="1" refreshedVersion="4" minRefreshableVersion="3" savePassword="1" saveData="1">
    <dbPr connection="DSN=VITAL_DB;UID=md_qry;PWD=md4421;SERVER=DEV;" command="SELECT   _x000d__x000a_         X.SON_CNT_0,_x000d__x000a_         X.SON_CNT_1,_x000d__x000a_         X.SON_CNT_2,_x000d__x000a_         X.SON_CNT_3,_x000d__x000a_         X.SON_CNT_4,_x000d__x000a_         X.SON_CNT_5,_x000d__x000a_         X.SON_CNT_UP_6,_x000d__x000a_         X.SON_CNT_NOT_STATED,_x000d__x000a_         X.TOTAL_x000d__x000a_  FROM   XLS_TAB_41 X_x000d__x000a_  WHERE  X.BULLTEN_YEAR=? AND X.CAT_QATRI_NQATRI_TOT=3_x000d__x000a_  ORDER BY X.ROW_ORDER"/>
    <parameters count="1">
      <parameter name="Parameter1" parameterType="cell" refreshOnChange="1" cell="Sheet1!$B$1"/>
    </parameters>
  </connection>
  <connection id="78" name="(Default) XLS_TAB_42" type="1" refreshedVersion="4" minRefreshableVersion="3" savePassword="1" saveData="1">
    <dbPr connection="DSN=VITAL_DB;UID=md_qry;PWD=md4421;SERVER=DEV;" command="SELECT   X.CNT_0,_x000d__x000a_         X.CNT_1,_x000d__x000a_         X.CNT_2,_x000d__x000a_         X.CNT_3,_x000d__x000a_         X.CNT_4,_x000d__x000a_         X.CNT_5,_x000d__x000a_         X.CNT_6,_x000d__x000a_         X.NOT_STATED,_x000d__x000a_         X.TOTAL_x000d__x000a_  FROM   MIGRATE.XLS_TAB_42 X_x000d__x000a_  WHERE X.BULLTEN_YEAR=?_x000d__x000a_  ORDER BY X.ROW_ORDER,X.CASES_SONS"/>
    <parameters count="1">
      <parameter name="Parameter1" parameterType="cell" refreshOnChange="1" cell="Sheet1!$B$1"/>
    </parameters>
  </connection>
  <connection id="79" name="(Default) XLS_TAB_43" type="1" refreshedVersion="4" minRefreshableVersion="3" savePassword="1" saveData="1">
    <dbPr connection="DSN=VITAL_DB;UID=md_qry;PWD=md4421;SERVER=DEV;" command="SELECT   _x000d__x000a_           X.MARRD_PRD_HUSBD_ARB,_x000d__x000a_           X.CAT_1_SON_CNT,_x000d__x000a_           X.CAT_1_CASE_CNT,_x000d__x000a_           X.CAT_2_SON_CNT,_x000d__x000a_           X.CAT_2_CASE_CNT,_x000d__x000a_           X.CAT_3_SON_CNT,_x000d__x000a_           X.CAT_3_CASE_CNT,_x000d__x000a_           X.CAT_4_SON_CNT,_x000d__x000a_           X.CAT_4_CASE_CNT,_x000d__x000a_           X.CAT_TOT_SON_CNT,_x000d__x000a_           X.CAT_TOT_CASE_CNT,_x000d__x000a_           X.MARRD_PRD_HUSBD_ENG_x000d__x000a_    FROM   XLS_TAB_43 X_x000d__x000a_   WHERE   X.BULLTEN_YEAR = ?_x000d__x000a_ORDER BY   X.ROW_ORDER"/>
    <parameters count="1">
      <parameter name="Parameter1" parameterType="cell" refreshOnChange="1" cell="Sheet1!$B$1"/>
    </parameters>
  </connection>
  <connection id="80" name="(Default) XLS_TAB_48" type="1" refreshedVersion="4" minRefreshableVersion="3" savePassword="1" saveData="1">
    <dbPr connection="DSN=VITAL_DB;UID=md_qry;PWD=md4421;SERVER=dev;" command="SELECT   X.MARR_PRD_ARB,_x000d__x000a_         X.QATARI_SON_CNT,_x000d__x000a_         X.NON_QATARI_SON_CNT,_x000d__x000a_         X.TOTAL,_x000d__x000a_         X.MARR_PRD_ENG_x000d__x000a_  FROM   XLS_TAB_48 X_x000d__x000a_WHERE   X.BULLTEN_YEAR = ?_x000d__x000a_ORDER BY   X.ROW_ORDER"/>
    <parameters count="1">
      <parameter name="Parameter1" parameterType="cell" refreshOnChange="1" cell="Sheet1!$B$1"/>
    </parameters>
  </connection>
  <connection id="81" name="(Default) XLS_TAB_6" type="1" refreshedVersion="4" minRefreshableVersion="3" savePassword="1" saveData="1">
    <dbPr connection="DSN=VITAL_DB;UID=md_qry;PWD=md4421;SERVER=dev;" command="SELECT   _x000d__x000a_         X.AREA_AR,_x000d__x000a_         X.M_QTRI_COUNT,_x000d__x000a_         X.M_NQTRI_COUNT,_x000d__x000a_         X.M_QTRI_TOT_COUNT,_x000d__x000a_       _x000d__x000a_         X.AREA_ENG_x000d__x000a_  FROM  XLS_TAB_6 X_x000d__x000a_ WHERE   BULLTEN_YEAR = ?_x000d__x000a_ORDER BY X.ROW_ORDER"/>
    <parameters count="1">
      <parameter name="Parameter1" parameterType="cell" refreshOnChange="1" cell="Sheet1!$B$1"/>
    </parameters>
  </connection>
  <connection id="82" name="(Default) XLS_TAB_61" type="1" refreshedVersion="4" minRefreshableVersion="3" savePassword="1" saveData="1">
    <dbPr connection="DSN=VITAL_DB;UID=md_qry;PWD=md4421;SERVER=dev;" command="SELECT   _x000d__x000a_         X.AREA_AR,_x000d__x000a_         X.M_QTRI_COUNT,_x000d__x000a_         X.M_NQTRI_COUNT,_x000d__x000a_         X.M_QTRI_TOT_COUNT,_x000d__x000a_       _x000d__x000a_         X.AREA_ENG_x000d__x000a_  FROM  XLS_TAB_6 X_x000d__x000a_ WHERE   BULLTEN_YEAR = ?_x000d__x000a_ORDER BY X.ROW_ORDER"/>
    <parameters count="1">
      <parameter name="Parameter1" parameterType="cell" refreshOnChange="1" cell="Sheet1!$B$1"/>
    </parameters>
  </connection>
  <connection id="83" name="(Default) XLS_TAB_611" type="1" refreshedVersion="4" minRefreshableVersion="3" savePassword="1" saveData="1">
    <dbPr connection="DSN=VITAL_DB;UID=md_qry;PWD=md4421;SERVER=dev;" command="SELECT   _x000d__x000a_         X.AREA_AR,_x000d__x000a_         X.M_QTRI_COUNT,_x000d__x000a_         X.M_NQTRI_COUNT,_x000d__x000a_         X.M_QTRI_TOT_COUNT,_x000d__x000a_       _x000d__x000a_         X.AREA_ENG_x000d__x000a_  FROM  XLS_TAB_6 X_x000d__x000a_ WHERE   BULLTEN_YEAR = ?_x000d__x000a_ORDER BY X.ROW_ORDER"/>
    <parameters count="1">
      <parameter name="Parameter1" parameterType="cell" refreshOnChange="1" cell="Sheet1!$B$1"/>
    </parameters>
  </connection>
  <connection id="84" name="(Default) XLS_TAB_6111" type="1" refreshedVersion="4" minRefreshableVersion="3" savePassword="1" saveData="1">
    <dbPr connection="DSN=VITAL_DB;UID=md_qry;PWD=md4421;SERVER=dev;" command="SELECT   _x000d__x000a_         X.AREA_AR,_x000d__x000a_         X.M_QTRI_COUNT,_x000d__x000a_         X.M_NQTRI_COUNT,_x000d__x000a_         X.M_QTRI_TOT_COUNT,_x000d__x000a_       _x000d__x000a_         X.AREA_ENG_x000d__x000a_  FROM  XLS_TAB_6 X_x000d__x000a_ WHERE   BULLTEN_YEAR = ?_x000d__x000a_ORDER BY X.ROW_ORDER"/>
    <parameters count="1">
      <parameter name="Parameter1" parameterType="cell" refreshOnChange="1" cell="Sheet1!$B$1"/>
    </parameters>
  </connection>
  <connection id="85" name="(Default) XLS_TAB_7" type="1" refreshedVersion="4" savePassword="1" saveData="1">
    <dbPr connection="DSN=VITAL_DB;UID=md_qry;PWD=md4421;SERVER=DEV;" command="SELECT   X.M_QTRI_COUNT,_x000d__x000a_         X.M_NQTRI_COUNT,_x000d__x000a_         X.M_QTRI_TOT_COUNT,_x000d__x000a_         X.W_QTRI_COUNT,_x000d__x000a_         X.W_NQTRI_COUNT,_x000d__x000a_         X.W_QTRI_TOT_COUNT_x000d__x000a_  FROM   XLS_TAB_7 X_x000d__x000a_  where  X.BULLTEN_YEAR=?_x000d__x000a_ORDER BY X.ROW_ORDER"/>
    <parameters count="1">
      <parameter name="Parameter1" parameterType="cell" refreshOnChange="1" cell="Sheet1!$B$1"/>
    </parameters>
  </connection>
  <connection id="86" name="(Default) XLS_TAB_8" type="1" refreshedVersion="4" minRefreshableVersion="3" savePassword="1" saveData="1">
    <dbPr connection="DSN=VITAL_DB;UID=md_qry;PWD=md4421;SERVER=DEV;" command="SELECT   _x000d__x000a_         X.QATAR,_x000d__x000a_         X.OTHER_G_C_C_COUNTRIES,_x000d__x000a_         X.OTHER_ARAB_COUNTRIES,_x000d__x000a_         X.ASIAN_COUNTRIES,_x000d__x000a_         X.EUROPEAN_COUNTRIES,_x000d__x000a_         X.OTHER_COUNTRIES,_x000d__x000a_         X.TOTAL,_x000d__x000a_         X.ROW_ORDER      _x000d__x000a_  FROM   XLS_TAB_8 X_x000d__x000a_  WHERE X.BULLTEN_YEAR=?_x000d__x000a_  ORDER BY X.ROW_ORDER"/>
    <parameters count="1">
      <parameter name="Parameter1" parameterType="cell" refreshOnChange="1" cell="Sheet1!$B$1"/>
    </parameters>
  </connection>
  <connection id="87" name="(Default) XLS_TAB_9" type="1" refreshedVersion="4" minRefreshableVersion="3" savePassword="1" saveData="1">
    <dbPr connection="DSN=VITAL_DB;UID=md_qry;PWD=md4421;SERVER=DEV;" command="SELECT   _x000d__x000a_           X.NAT_DESC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60_64,_x000d__x000a_           X.AGE_LEVEL_65_70,_x000d__x000a_           X.AGE_LEVEL_70_74,_x000d__x000a_           X.AGE_LEVEL_75,_x000d__x000a_           X.AGE_LEVEL_NOT_STATED,_x000d__x000a_           X.TOTAL,_x000d__x000a_           X.NAT_DESC_ENG_x000d__x000a_    FROM   XLS_TAB_9 X_x000d__x000a_  WHERE   X.BULLTEN_YEAR = ?_x000d__x000a_ORDER BY   X.ROW_ORDER"/>
    <parameters count="1">
      <parameter name="Parameter1" parameterType="cell" refreshOnChange="1" cell="Sheet1!$B$1"/>
    </parameters>
  </connection>
</connections>
</file>

<file path=xl/sharedStrings.xml><?xml version="1.0" encoding="utf-8"?>
<sst xmlns="http://schemas.openxmlformats.org/spreadsheetml/2006/main" count="4563" uniqueCount="1277">
  <si>
    <t xml:space="preserve">إشهادات الطلاق حسب عدد الأبناء وفئة عمر الزوجة </t>
  </si>
  <si>
    <t>المجموع Total</t>
  </si>
  <si>
    <t>جدول رقم (39-3)</t>
  </si>
  <si>
    <t>Table No. (39-3)</t>
  </si>
  <si>
    <t>فئة عمر الزوجة  بالسنوات</t>
  </si>
  <si>
    <r>
      <t xml:space="preserve">النسبة </t>
    </r>
    <r>
      <rPr>
        <b/>
        <sz val="10"/>
        <rFont val="Arial"/>
        <family val="2"/>
      </rPr>
      <t xml:space="preserve">
</t>
    </r>
    <r>
      <rPr>
        <sz val="10"/>
        <rFont val="Arial"/>
        <family val="2"/>
      </rPr>
      <t xml:space="preserve">Percentage </t>
    </r>
  </si>
  <si>
    <t>Age Group of Wife (In Years)</t>
  </si>
  <si>
    <t>6 +</t>
  </si>
  <si>
    <r>
      <t>غير مبين</t>
    </r>
    <r>
      <rPr>
        <sz val="10"/>
        <rFont val="Arial"/>
        <family val="2"/>
      </rPr>
      <t xml:space="preserve">
Not Stated</t>
    </r>
  </si>
  <si>
    <r>
      <t xml:space="preserve">المجموع
</t>
    </r>
    <r>
      <rPr>
        <sz val="12"/>
        <rFont val="Arial"/>
        <family val="2"/>
      </rPr>
      <t>Total</t>
    </r>
  </si>
  <si>
    <t>20 - 24</t>
  </si>
  <si>
    <t>25 - 29</t>
  </si>
  <si>
    <t>30 - 34</t>
  </si>
  <si>
    <t>35 - 39</t>
  </si>
  <si>
    <t>40 - 44</t>
  </si>
  <si>
    <t>45 - 49</t>
  </si>
  <si>
    <t>50 - 54</t>
  </si>
  <si>
    <t>55 - 59</t>
  </si>
  <si>
    <t>60 +</t>
  </si>
  <si>
    <t>غير مبين</t>
  </si>
  <si>
    <t>Not Stated</t>
  </si>
  <si>
    <t>المجموع</t>
  </si>
  <si>
    <t xml:space="preserve">Total  </t>
  </si>
  <si>
    <t xml:space="preserve">النسبة   </t>
  </si>
  <si>
    <t>Percentage</t>
  </si>
  <si>
    <t>قطريات
Qataris</t>
  </si>
  <si>
    <t>غير قطريات
Non-Qataris</t>
  </si>
  <si>
    <t xml:space="preserve">      Vital Statistics is considered as one of the main pillars of population statistics. It can be obtained from vital registrations systems or from population surveys and censuses.</t>
  </si>
  <si>
    <t>Introduction</t>
  </si>
  <si>
    <t>m</t>
  </si>
  <si>
    <t>--</t>
  </si>
  <si>
    <t>1 - كشف عقود زواج</t>
  </si>
  <si>
    <t>Appendixes:</t>
  </si>
  <si>
    <t>ملاحــــــق</t>
  </si>
  <si>
    <t>إشهادات الطلاق حسب جنسية الزوج والزوجة وعدد أبناء الزوجة ومدة الحياة الزواجية للزوج</t>
  </si>
  <si>
    <t>إشهادات الطلاق حسب عدد أبناء الزوجة وجنسية الزوج والزوجة</t>
  </si>
  <si>
    <t>39-3</t>
  </si>
  <si>
    <t>39-2</t>
  </si>
  <si>
    <t>39-1</t>
  </si>
  <si>
    <t>26-3</t>
  </si>
  <si>
    <t>26-2</t>
  </si>
  <si>
    <t>26-1</t>
  </si>
  <si>
    <t>25-3</t>
  </si>
  <si>
    <t>25-2</t>
  </si>
  <si>
    <t>25-1</t>
  </si>
  <si>
    <t>21</t>
  </si>
  <si>
    <t>20</t>
  </si>
  <si>
    <t>19</t>
  </si>
  <si>
    <t xml:space="preserve">الباب الثاني : الطــــــلاق </t>
  </si>
  <si>
    <t>عقود الزواج حسب عدد أبناء الزوجة وجنسية الزوج والزوجة</t>
  </si>
  <si>
    <t>17-3</t>
  </si>
  <si>
    <t>17-2</t>
  </si>
  <si>
    <t>17-1</t>
  </si>
  <si>
    <t>13-3</t>
  </si>
  <si>
    <t>13-2</t>
  </si>
  <si>
    <t>13-1</t>
  </si>
  <si>
    <t>12-3</t>
  </si>
  <si>
    <t>12-2</t>
  </si>
  <si>
    <t>12-1</t>
  </si>
  <si>
    <t>4</t>
  </si>
  <si>
    <t>الباب الأول : الزواج</t>
  </si>
  <si>
    <t>Definitions</t>
  </si>
  <si>
    <t>تعاريف</t>
  </si>
  <si>
    <t>Contents</t>
  </si>
  <si>
    <t>المحتويات</t>
  </si>
  <si>
    <t>Preface</t>
  </si>
  <si>
    <t xml:space="preserve">تقديم </t>
  </si>
  <si>
    <t>مقدمة</t>
  </si>
  <si>
    <t>Tables</t>
  </si>
  <si>
    <r>
      <t xml:space="preserve">رقم الصفحة
</t>
    </r>
    <r>
      <rPr>
        <b/>
        <sz val="8"/>
        <rFont val="Arial"/>
        <family val="2"/>
      </rPr>
      <t>Page No.</t>
    </r>
  </si>
  <si>
    <r>
      <t xml:space="preserve">رقم الجدول
</t>
    </r>
    <r>
      <rPr>
        <b/>
        <sz val="8"/>
        <rFont val="Arial"/>
        <family val="2"/>
      </rPr>
      <t>Table No.</t>
    </r>
  </si>
  <si>
    <t>الجداول</t>
  </si>
  <si>
    <t>Graph</t>
  </si>
  <si>
    <r>
      <t xml:space="preserve">رقم الشكل
</t>
    </r>
    <r>
      <rPr>
        <b/>
        <sz val="8"/>
        <rFont val="Arial"/>
        <family val="2"/>
      </rPr>
      <t>Graph No.</t>
    </r>
  </si>
  <si>
    <t>الشكل</t>
  </si>
  <si>
    <r>
      <t xml:space="preserve">فهرس الرسوم البيانية                                         </t>
    </r>
    <r>
      <rPr>
        <b/>
        <sz val="12"/>
        <rFont val="Arial"/>
        <family val="2"/>
      </rPr>
      <t>CONTENTS OF GRAPHS</t>
    </r>
  </si>
  <si>
    <t>تقديم</t>
  </si>
  <si>
    <t>4.</t>
  </si>
  <si>
    <r>
      <t>GREATER BA'AN</t>
    </r>
    <r>
      <rPr>
        <sz val="11"/>
        <rFont val="Arial"/>
        <family val="2"/>
      </rPr>
      <t xml:space="preserve"> : It is a "complex divorce" for a third time and preceeded by two divorces. The divorcer can not remarry his divorcee unless she properly and legally married to another man and then divorced legally from him.</t>
    </r>
  </si>
  <si>
    <t>3.</t>
  </si>
  <si>
    <r>
      <t>KHULAA</t>
    </r>
    <r>
      <rPr>
        <sz val="11"/>
        <rFont val="Arial"/>
        <family val="2"/>
      </rPr>
      <t xml:space="preserve"> : Termination of the marriage contract by mutual consent of the couple, with the wording of "Khulaa", against a lump sum paid by the wife, and considered annulment. The woman is not required to be in purity state</t>
    </r>
  </si>
  <si>
    <t>2.</t>
  </si>
  <si>
    <r>
      <t>RAJEE</t>
    </r>
    <r>
      <rPr>
        <sz val="11"/>
        <rFont val="Arial"/>
        <family val="2"/>
      </rPr>
      <t xml:space="preserve"> : It is a "Revocable Divorce" for the first or second time which can be imposed upon a wife who has been sexually communicated with.</t>
    </r>
  </si>
  <si>
    <t>1.</t>
  </si>
  <si>
    <r>
      <t xml:space="preserve">Smaller BA'AN </t>
    </r>
    <r>
      <rPr>
        <sz val="11"/>
        <rFont val="Arial"/>
        <family val="2"/>
      </rPr>
      <t>: It is a "simple divorce' imposed upon a wife for the first time or second time after complete the period of (Elida) and also wife who has not yet been sexually communicated with.</t>
    </r>
  </si>
  <si>
    <t>Is the final legal dissolution of marriage i.e. the seperation of husband and wife and confers on the parties the right to remarriage on special conditions. The types of divorce according to Islamic law is as follows:</t>
  </si>
  <si>
    <t xml:space="preserve"> وهو الصيغة التي ينتهي بموجبها عقد الزواج بطريقة  شـرعية  بين الطرفين  أي  الزوج    والزوجة الذين يحق لهما  إعادة الزواج تحت شروط معينة . وفقاً للشريعة الإسلامية هناك أربعة أنواع من الطلاق نوردها فيما يلي :-</t>
  </si>
  <si>
    <t>2 - Divorce</t>
  </si>
  <si>
    <r>
      <t xml:space="preserve">2 - </t>
    </r>
    <r>
      <rPr>
        <b/>
        <sz val="14"/>
        <rFont val="Arabic Transparent"/>
        <charset val="178"/>
      </rPr>
      <t xml:space="preserve">الطلاق </t>
    </r>
  </si>
  <si>
    <r>
      <t>No relationship</t>
    </r>
    <r>
      <rPr>
        <sz val="11"/>
        <rFont val="Arial"/>
        <family val="2"/>
      </rPr>
      <t xml:space="preserve"> when there is no blood relation between husband and wife</t>
    </r>
  </si>
  <si>
    <r>
      <t>Second class relationship</t>
    </r>
    <r>
      <rPr>
        <sz val="11"/>
        <rFont val="Arial"/>
        <family val="2"/>
      </rPr>
      <t xml:space="preserve"> for any marriage of relatives other than those in (1) e.g. marriage from tribe.</t>
    </r>
  </si>
  <si>
    <r>
      <t>First class relationship</t>
    </r>
    <r>
      <rPr>
        <sz val="11"/>
        <rFont val="Arial"/>
        <family val="2"/>
      </rPr>
      <t xml:space="preserve"> for marriages of cousins.</t>
    </r>
  </si>
  <si>
    <t>Marriage was classified according to relation as follows:</t>
  </si>
  <si>
    <t>يصنف الزواج حسب درجة القرابة على النحو التالي :</t>
  </si>
  <si>
    <t>Is the legal union of opposite sex i.e. husband and wife. The legality of this union is recognized by islamic laws. Marriage is the foundation of family which forms its legal identity.</t>
  </si>
  <si>
    <t xml:space="preserve"> هو الارتباط الشرعي والقانوني بين الزوج والزوجة . وشرعية هذا الزواج تحكمه القوانين الإسلامية وهو الظاهرة التي تنشئ الاسرة وتهيء لها الوضع القانوني .</t>
  </si>
  <si>
    <t>1 - Marriage</t>
  </si>
  <si>
    <r>
      <t xml:space="preserve">1 - </t>
    </r>
    <r>
      <rPr>
        <b/>
        <sz val="14"/>
        <rFont val="Arabic Transparent"/>
        <charset val="178"/>
      </rPr>
      <t>الزواج</t>
    </r>
  </si>
  <si>
    <t>This bulletin contains a number of terminologies. Underneath are brief definitions for each:</t>
  </si>
  <si>
    <t xml:space="preserve">    اشتملت هذه النشــرة على عدد من المصطلحات فيما يلي نعرض تعريفاً مختصراً لكل منها :-  </t>
  </si>
  <si>
    <t>تعاريــف</t>
  </si>
  <si>
    <t xml:space="preserve"> CDR =   </t>
  </si>
  <si>
    <t>Div</t>
  </si>
  <si>
    <t>× 1000</t>
  </si>
  <si>
    <t>It is calculated as follows:</t>
  </si>
  <si>
    <t>ويحسب كما يلي:</t>
  </si>
  <si>
    <t xml:space="preserve"> This has the same numerator of the CDR, but the denominator here is restricted to the population 15 years and above.</t>
  </si>
  <si>
    <t>وهو يناظر معدل الطلاق الخام إلا أن المقام هنا يقتصر على السكان في الأعمار 15 سنة فأكثر</t>
  </si>
  <si>
    <t xml:space="preserve">2- General Divorce Rate (CDR) : </t>
  </si>
  <si>
    <t xml:space="preserve">2- معدل الطلاق العام : </t>
  </si>
  <si>
    <t>P</t>
  </si>
  <si>
    <t xml:space="preserve">It is calculated as follows: </t>
  </si>
  <si>
    <t>The average number of divorces per 1000 mid-year population.</t>
  </si>
  <si>
    <t>هو متوسط عدد حالات الطلاق لكل ألف من السكان في منتصف العام</t>
  </si>
  <si>
    <t xml:space="preserve">1- Crude Divorce Rate (CDR) : </t>
  </si>
  <si>
    <t xml:space="preserve">1- معدل الطلاق الخام : </t>
  </si>
  <si>
    <t>Second: Divorce Rates</t>
  </si>
  <si>
    <t xml:space="preserve">ثانياً : معدلات الطلاق </t>
  </si>
  <si>
    <t>It is the weighted average of age taking number of those getting married as weights and multiplied by corresponding age. The summation of the results are divided by summation of weight.</t>
  </si>
  <si>
    <t>وهو المتوسط المرجح للأعمار مع حساب عدد المتقدمين للزواج كأوزان وتضرب الأعمار × الأوزان ويجمع حاصل الضرب ويقسم على مجموع الأوزان</t>
  </si>
  <si>
    <t>3- Average age at first marriage:</t>
  </si>
  <si>
    <t>3- متوسط العمر عند الزواج الأول :</t>
  </si>
  <si>
    <t xml:space="preserve"> GMR =   </t>
  </si>
  <si>
    <t>M</t>
  </si>
  <si>
    <t>It has the same numerator of the CMR, but the denominator here is restricted to the population aged 15 years and above.</t>
  </si>
  <si>
    <t>هو مناظر معدل الزواج الخام إلا أن المقام يقتصر على السكان في العمر 15 سنة فأكثر</t>
  </si>
  <si>
    <t xml:space="preserve">2- General Marriage Rate : </t>
  </si>
  <si>
    <t xml:space="preserve">2- معدل الزواج العام : </t>
  </si>
  <si>
    <t>Where :</t>
  </si>
  <si>
    <t>حيث</t>
  </si>
  <si>
    <t xml:space="preserve"> CMR =   </t>
  </si>
  <si>
    <t xml:space="preserve">The average number of marriages per 1000 mid-year population at a certain area in a specific year. </t>
  </si>
  <si>
    <t>هو متوسط عدد الزيجات لكل ألف من السكان في منتصف السنة في منطقة معينة خلال سنة معينة.</t>
  </si>
  <si>
    <t xml:space="preserve">1- Crude Marriage Rate (CMR) : </t>
  </si>
  <si>
    <t xml:space="preserve">1- معدل الزواج الخام : </t>
  </si>
  <si>
    <t>First: Marriage Rates</t>
  </si>
  <si>
    <t xml:space="preserve">أولاً : معدلات الزواج </t>
  </si>
  <si>
    <t>INDICATORS &amp; VITAL RATES</t>
  </si>
  <si>
    <t>المؤشرات والمعدلات الحيوية</t>
  </si>
  <si>
    <r>
      <t xml:space="preserve">النسبة
</t>
    </r>
    <r>
      <rPr>
        <b/>
        <sz val="9"/>
        <rFont val="Arial"/>
        <family val="2"/>
      </rPr>
      <t>%</t>
    </r>
  </si>
  <si>
    <r>
      <t xml:space="preserve">العدد
</t>
    </r>
    <r>
      <rPr>
        <b/>
        <sz val="9"/>
        <rFont val="Arial"/>
        <family val="2"/>
      </rPr>
      <t>No.</t>
    </r>
  </si>
  <si>
    <r>
      <t>المجموع</t>
    </r>
    <r>
      <rPr>
        <b/>
        <sz val="8"/>
        <rFont val="Arial"/>
        <family val="2"/>
        <charset val="178"/>
      </rPr>
      <t xml:space="preserve">
</t>
    </r>
    <r>
      <rPr>
        <b/>
        <sz val="10"/>
        <rFont val="Arial"/>
        <family val="2"/>
      </rPr>
      <t>Total</t>
    </r>
  </si>
  <si>
    <r>
      <t>غير قطريين</t>
    </r>
    <r>
      <rPr>
        <b/>
        <sz val="8"/>
        <rFont val="Arial"/>
        <family val="2"/>
        <charset val="178"/>
      </rPr>
      <t xml:space="preserve">
</t>
    </r>
    <r>
      <rPr>
        <b/>
        <sz val="10"/>
        <rFont val="Arial"/>
        <family val="2"/>
      </rPr>
      <t>Non-Qatari</t>
    </r>
  </si>
  <si>
    <r>
      <t>قطريون</t>
    </r>
    <r>
      <rPr>
        <b/>
        <sz val="8"/>
        <rFont val="Arial"/>
        <family val="2"/>
        <charset val="178"/>
      </rPr>
      <t xml:space="preserve"> 
</t>
    </r>
    <r>
      <rPr>
        <b/>
        <sz val="10"/>
        <rFont val="Arial"/>
        <family val="2"/>
      </rPr>
      <t>Qatari</t>
    </r>
  </si>
  <si>
    <t>Year</t>
  </si>
  <si>
    <t>اشهادات الطلاق
Divorces</t>
  </si>
  <si>
    <t>عقود الزواج
Marriages</t>
  </si>
  <si>
    <t>السنة</t>
  </si>
  <si>
    <t>جدول رقم (1)</t>
  </si>
  <si>
    <r>
      <t xml:space="preserve"> Graph No. (1) </t>
    </r>
    <r>
      <rPr>
        <b/>
        <sz val="12"/>
        <rFont val="Arial"/>
        <family val="2"/>
      </rPr>
      <t>شكل رقم</t>
    </r>
  </si>
  <si>
    <r>
      <t>إناث</t>
    </r>
    <r>
      <rPr>
        <b/>
        <sz val="8"/>
        <rFont val="Arial"/>
        <family val="2"/>
        <charset val="178"/>
      </rPr>
      <t xml:space="preserve">
Females</t>
    </r>
  </si>
  <si>
    <r>
      <t>ذكور</t>
    </r>
    <r>
      <rPr>
        <b/>
        <sz val="8"/>
        <rFont val="Arial"/>
        <family val="2"/>
        <charset val="178"/>
      </rPr>
      <t xml:space="preserve"> 
Males</t>
    </r>
  </si>
  <si>
    <t>غير قطريين Non-Qatari</t>
  </si>
  <si>
    <t>قطريون Qatari</t>
  </si>
  <si>
    <t>جدول رقم (2)</t>
  </si>
  <si>
    <t>متوسط العمر عند أول زواج</t>
  </si>
  <si>
    <r>
      <t xml:space="preserve"> Graph No. (2) </t>
    </r>
    <r>
      <rPr>
        <b/>
        <sz val="12"/>
        <rFont val="Arial"/>
        <family val="2"/>
      </rPr>
      <t>شكل رقم</t>
    </r>
  </si>
  <si>
    <t>Crude Divorces Rate</t>
  </si>
  <si>
    <t>Divorces</t>
  </si>
  <si>
    <t>Crude Marriages Rate</t>
  </si>
  <si>
    <t>Marriages</t>
  </si>
  <si>
    <t>معدل الطلاق الخام</t>
  </si>
  <si>
    <t>عدد حالات الطلاق</t>
  </si>
  <si>
    <t>معدل الزواج الخام</t>
  </si>
  <si>
    <t>عدد حالات الزواج</t>
  </si>
  <si>
    <t>جدول رقم (3)</t>
  </si>
  <si>
    <r>
      <t>MARRIAGES AND DIVORCES CRUDE RATE PER 1000 POPULATION</t>
    </r>
    <r>
      <rPr>
        <b/>
        <vertAlign val="superscript"/>
        <sz val="12"/>
        <rFont val="Arial"/>
        <family val="2"/>
      </rPr>
      <t xml:space="preserve"> </t>
    </r>
  </si>
  <si>
    <r>
      <t xml:space="preserve"> Graph No. (3) </t>
    </r>
    <r>
      <rPr>
        <b/>
        <sz val="12"/>
        <rFont val="Arial"/>
        <family val="2"/>
      </rPr>
      <t>شكل رقم</t>
    </r>
  </si>
  <si>
    <r>
      <t xml:space="preserve">معدل الزواج العام
</t>
    </r>
    <r>
      <rPr>
        <b/>
        <sz val="9"/>
        <rFont val="Arial"/>
        <family val="2"/>
        <charset val="178"/>
      </rPr>
      <t xml:space="preserve">General Marriage Rates </t>
    </r>
  </si>
  <si>
    <r>
      <t xml:space="preserve">حالات الزواج 
</t>
    </r>
    <r>
      <rPr>
        <b/>
        <sz val="9"/>
        <rFont val="Arial"/>
        <family val="2"/>
        <charset val="178"/>
      </rPr>
      <t>Marriages</t>
    </r>
  </si>
  <si>
    <r>
      <t xml:space="preserve">الإناث </t>
    </r>
    <r>
      <rPr>
        <b/>
        <sz val="10"/>
        <rFont val="Arial"/>
        <family val="2"/>
        <charset val="178"/>
      </rPr>
      <t>Females</t>
    </r>
  </si>
  <si>
    <r>
      <t xml:space="preserve">الذكور </t>
    </r>
    <r>
      <rPr>
        <b/>
        <sz val="10"/>
        <rFont val="Arial"/>
        <family val="2"/>
        <charset val="178"/>
      </rPr>
      <t>Males</t>
    </r>
  </si>
  <si>
    <t>غير قطريين Non-Qataris</t>
  </si>
  <si>
    <t>قطريون Qataris</t>
  </si>
  <si>
    <t>جدول رقم (4)</t>
  </si>
  <si>
    <r>
      <t xml:space="preserve"> Graph No. (4) </t>
    </r>
    <r>
      <rPr>
        <b/>
        <sz val="12"/>
        <rFont val="Arial"/>
        <family val="2"/>
      </rPr>
      <t>شكل رقم</t>
    </r>
  </si>
  <si>
    <t>Total</t>
  </si>
  <si>
    <t>Al Daayen</t>
  </si>
  <si>
    <t>Al Shamal</t>
  </si>
  <si>
    <t>Al Khor</t>
  </si>
  <si>
    <t>Umm Salal</t>
  </si>
  <si>
    <t>Al Wakra</t>
  </si>
  <si>
    <t>Al Rayyan</t>
  </si>
  <si>
    <t>Doha</t>
  </si>
  <si>
    <r>
      <t>المجموع</t>
    </r>
    <r>
      <rPr>
        <b/>
        <sz val="8"/>
        <rFont val="Arial"/>
        <family val="2"/>
        <charset val="178"/>
      </rPr>
      <t xml:space="preserve">
Total</t>
    </r>
  </si>
  <si>
    <r>
      <t>غير قطريات</t>
    </r>
    <r>
      <rPr>
        <b/>
        <sz val="8"/>
        <rFont val="Arial"/>
        <family val="2"/>
        <charset val="178"/>
      </rPr>
      <t xml:space="preserve">
Non-Qatari</t>
    </r>
  </si>
  <si>
    <r>
      <t>قطريات</t>
    </r>
    <r>
      <rPr>
        <b/>
        <sz val="8"/>
        <rFont val="Arial"/>
        <family val="2"/>
        <charset val="178"/>
      </rPr>
      <t xml:space="preserve"> 
Qatari</t>
    </r>
  </si>
  <si>
    <r>
      <t>غير قطريين</t>
    </r>
    <r>
      <rPr>
        <b/>
        <sz val="8"/>
        <rFont val="Arial"/>
        <family val="2"/>
        <charset val="178"/>
      </rPr>
      <t xml:space="preserve">
Non-Qatari</t>
    </r>
  </si>
  <si>
    <r>
      <t>قطريون</t>
    </r>
    <r>
      <rPr>
        <b/>
        <sz val="8"/>
        <rFont val="Arial"/>
        <family val="2"/>
        <charset val="178"/>
      </rPr>
      <t xml:space="preserve"> 
Qatari</t>
    </r>
  </si>
  <si>
    <t>جنسية الزوجة
Nationality of Wife</t>
  </si>
  <si>
    <t>جنسية الزوج
Nationality of Husband</t>
  </si>
  <si>
    <t>جدول رقم (5)</t>
  </si>
  <si>
    <t>Graph No. (5) شكل رقم</t>
  </si>
  <si>
    <t>December</t>
  </si>
  <si>
    <t>ديسمبر</t>
  </si>
  <si>
    <t>November</t>
  </si>
  <si>
    <t>نوفمبر</t>
  </si>
  <si>
    <t>October</t>
  </si>
  <si>
    <t>أكتوبر</t>
  </si>
  <si>
    <t>September</t>
  </si>
  <si>
    <t>سبتمبر</t>
  </si>
  <si>
    <t>August</t>
  </si>
  <si>
    <t>اغسطس</t>
  </si>
  <si>
    <t>July</t>
  </si>
  <si>
    <t>يوليو</t>
  </si>
  <si>
    <t>June</t>
  </si>
  <si>
    <t>يونيو</t>
  </si>
  <si>
    <t>May</t>
  </si>
  <si>
    <t>مايـو</t>
  </si>
  <si>
    <t>April</t>
  </si>
  <si>
    <t>ابريل</t>
  </si>
  <si>
    <t>March</t>
  </si>
  <si>
    <t>مارس</t>
  </si>
  <si>
    <t>February</t>
  </si>
  <si>
    <t>فبراير</t>
  </si>
  <si>
    <t>January</t>
  </si>
  <si>
    <t>يناير</t>
  </si>
  <si>
    <t>Month</t>
  </si>
  <si>
    <t>الشهر</t>
  </si>
  <si>
    <t>MARRIAGES BY NATIONALITY OF HUSBAND, NATIONALITY
OF WIFE AND MONTH</t>
  </si>
  <si>
    <t>عقود الزواج حسب جنسية الزوج والزوجة والشهر</t>
  </si>
  <si>
    <t>دول أخرى
Other Countries</t>
  </si>
  <si>
    <t>دول أوروبية
Europen Countries</t>
  </si>
  <si>
    <t>دول أسيوية
Asian Countries</t>
  </si>
  <si>
    <t>باقي الدول العربية
Other Arabs Countries</t>
  </si>
  <si>
    <t>بقية دول مجلس التعاون
Other G.C.C. Countries</t>
  </si>
  <si>
    <t>قطر
Qatar</t>
  </si>
  <si>
    <t>Percentage of Wife</t>
  </si>
  <si>
    <t>النسبة المئوية لجنسية الزوجة</t>
  </si>
  <si>
    <t>OTHER COUNTRIES</t>
  </si>
  <si>
    <t>دول اخرى</t>
  </si>
  <si>
    <t>EUROPEAN COUNTRIES</t>
  </si>
  <si>
    <t>دول أوروبية</t>
  </si>
  <si>
    <t>ASIAN COUNTRIES</t>
  </si>
  <si>
    <t>دول أسيوية</t>
  </si>
  <si>
    <t>OTHER ARAB COUNTRIES</t>
  </si>
  <si>
    <t>بقية الدول العربية</t>
  </si>
  <si>
    <t>OTHER G.C.C COUNTRIES</t>
  </si>
  <si>
    <t>بقية دول مجلس التعاون</t>
  </si>
  <si>
    <t>QATAR</t>
  </si>
  <si>
    <t>قطر</t>
  </si>
  <si>
    <r>
      <t xml:space="preserve">المجموع
</t>
    </r>
    <r>
      <rPr>
        <b/>
        <sz val="9"/>
        <rFont val="Arial"/>
        <family val="2"/>
        <charset val="178"/>
      </rPr>
      <t>Total</t>
    </r>
  </si>
  <si>
    <r>
      <t>دول اخرى</t>
    </r>
    <r>
      <rPr>
        <sz val="9"/>
        <rFont val="Arial"/>
        <family val="2"/>
        <charset val="178"/>
      </rPr>
      <t xml:space="preserve">
OTHER COUNTRIES</t>
    </r>
  </si>
  <si>
    <r>
      <t>دول أوروبية</t>
    </r>
    <r>
      <rPr>
        <sz val="9"/>
        <rFont val="Arial"/>
        <family val="2"/>
        <charset val="178"/>
      </rPr>
      <t xml:space="preserve">
EUROPEAN COUNTRIES</t>
    </r>
  </si>
  <si>
    <r>
      <t>دول أسيوية</t>
    </r>
    <r>
      <rPr>
        <sz val="9"/>
        <rFont val="Arial"/>
        <family val="2"/>
        <charset val="178"/>
      </rPr>
      <t xml:space="preserve">
ASIAN COUNTRIES</t>
    </r>
  </si>
  <si>
    <r>
      <t>بقية الدول العربية</t>
    </r>
    <r>
      <rPr>
        <sz val="9"/>
        <rFont val="Arial"/>
        <family val="2"/>
        <charset val="178"/>
      </rPr>
      <t xml:space="preserve">
OTHER ARAB COUNTRIES</t>
    </r>
  </si>
  <si>
    <r>
      <t>بقية دول مجلس التعاون</t>
    </r>
    <r>
      <rPr>
        <sz val="9"/>
        <rFont val="Arial"/>
        <family val="2"/>
        <charset val="178"/>
      </rPr>
      <t xml:space="preserve">
OTHER G.C.C COUNTRIES</t>
    </r>
  </si>
  <si>
    <r>
      <t xml:space="preserve">قطر
</t>
    </r>
    <r>
      <rPr>
        <sz val="9"/>
        <rFont val="Arial"/>
        <family val="2"/>
        <charset val="178"/>
      </rPr>
      <t>QATAR</t>
    </r>
  </si>
  <si>
    <t>Nationality of Husband</t>
  </si>
  <si>
    <r>
      <t xml:space="preserve">النسبة المئوية لجنسية الزوج
</t>
    </r>
    <r>
      <rPr>
        <sz val="8"/>
        <rFont val="Arial"/>
        <family val="2"/>
        <charset val="178"/>
      </rPr>
      <t xml:space="preserve">Percentage of Husband </t>
    </r>
  </si>
  <si>
    <t>جنسية الزوجة Nationality of Wife</t>
  </si>
  <si>
    <t>جنسية الزوج</t>
  </si>
  <si>
    <t>جدول رقم (7)</t>
  </si>
  <si>
    <t>MARRIAGES BY NATIONALITY OF WIFE AND HUSBAND</t>
  </si>
  <si>
    <t>عقود الزواج حسب جنسية الزوجة والزوج</t>
  </si>
  <si>
    <r>
      <t xml:space="preserve"> Graph No. (6) </t>
    </r>
    <r>
      <rPr>
        <b/>
        <sz val="12"/>
        <rFont val="Arial"/>
        <family val="2"/>
      </rPr>
      <t>شكل رقم</t>
    </r>
  </si>
  <si>
    <r>
      <t xml:space="preserve">المجموع
</t>
    </r>
    <r>
      <rPr>
        <b/>
        <sz val="9"/>
        <rFont val="Arial"/>
        <family val="2"/>
      </rPr>
      <t>Total</t>
    </r>
  </si>
  <si>
    <r>
      <t>غير مبين</t>
    </r>
    <r>
      <rPr>
        <sz val="9"/>
        <rFont val="Arial"/>
        <family val="2"/>
      </rPr>
      <t xml:space="preserve">
Not Stated</t>
    </r>
  </si>
  <si>
    <t>75+</t>
  </si>
  <si>
    <t>70-74</t>
  </si>
  <si>
    <t>65-69</t>
  </si>
  <si>
    <t>60-64</t>
  </si>
  <si>
    <t>55-59</t>
  </si>
  <si>
    <t>50-54</t>
  </si>
  <si>
    <t>45-49</t>
  </si>
  <si>
    <t>40-44</t>
  </si>
  <si>
    <t>35-39</t>
  </si>
  <si>
    <t>30-34</t>
  </si>
  <si>
    <t>25-29</t>
  </si>
  <si>
    <t>20-24</t>
  </si>
  <si>
    <t xml:space="preserve">فئة عمر الزوج  بالسنوات   Age Group of Husband in years </t>
  </si>
  <si>
    <t>Table No. (8)</t>
  </si>
  <si>
    <t>جدول رقم (8)</t>
  </si>
  <si>
    <t>MARRIAGES BY HUSBAND AGE GROUP AND NATIONALITY</t>
  </si>
  <si>
    <t>عقود الزواج حسب فئة عمر الزوج وجنسيته</t>
  </si>
  <si>
    <t>60+</t>
  </si>
  <si>
    <t>15-19</t>
  </si>
  <si>
    <t>Nationality of Wife</t>
  </si>
  <si>
    <t xml:space="preserve">فئة عمر الزوجة  بالسنوات   Age Group of Wife in years </t>
  </si>
  <si>
    <t>جنسية الزوجة</t>
  </si>
  <si>
    <t>Table No. (9)</t>
  </si>
  <si>
    <t>جدول رقم (9)</t>
  </si>
  <si>
    <t>MARRIAGES BY WIFE AGE GROUP AND NATIONALITY</t>
  </si>
  <si>
    <t>عقود الزواج حسب فئة عمر الزوجة وجنسيتها</t>
  </si>
  <si>
    <t>75 +</t>
  </si>
  <si>
    <t>70 - 74</t>
  </si>
  <si>
    <t>65 - 69</t>
  </si>
  <si>
    <t>60 - 64</t>
  </si>
  <si>
    <t xml:space="preserve"> Age Group
 of Husband in Years</t>
  </si>
  <si>
    <t xml:space="preserve"> فئات عمر الزوج بالسنوات</t>
  </si>
  <si>
    <t>MARRIAGES BY AGE GROUP OF WIFE AND HUSBAND</t>
  </si>
  <si>
    <t>عقود الزواج حسب فئة عمر الزوجة والزوج</t>
  </si>
  <si>
    <t>النسبة</t>
  </si>
  <si>
    <r>
      <t xml:space="preserve">غير مبين
</t>
    </r>
    <r>
      <rPr>
        <sz val="10"/>
        <rFont val="Arial"/>
        <family val="2"/>
      </rPr>
      <t>Not Stated</t>
    </r>
  </si>
  <si>
    <r>
      <t xml:space="preserve">لا يوجد
</t>
    </r>
    <r>
      <rPr>
        <sz val="10"/>
        <rFont val="Arial"/>
        <family val="2"/>
      </rPr>
      <t>None</t>
    </r>
  </si>
  <si>
    <t>عدد الزوجات بالعصمة Number of Wives</t>
  </si>
  <si>
    <t>Table No. (11-1)</t>
  </si>
  <si>
    <t>جدول رقم (11-1)</t>
  </si>
  <si>
    <t>MARRIAGES BY NUMBER OF WIVES AND HUSBAND'S AGE GROUP</t>
  </si>
  <si>
    <t>عقود الزواج حسب عدد الزوجات بالعصمة وفئة عمر الزوج</t>
  </si>
  <si>
    <t>Table No. (11-2)</t>
  </si>
  <si>
    <t>جدول رقم (11-2)</t>
  </si>
  <si>
    <t>Table No. (11-3)</t>
  </si>
  <si>
    <t>جدول رقم (11-3)</t>
  </si>
  <si>
    <t xml:space="preserve"> 55 - 59</t>
  </si>
  <si>
    <t xml:space="preserve"> 50 - 54</t>
  </si>
  <si>
    <t xml:space="preserve"> 45 - 49</t>
  </si>
  <si>
    <t xml:space="preserve"> 40 - 44</t>
  </si>
  <si>
    <t xml:space="preserve"> 35 - 39</t>
  </si>
  <si>
    <t xml:space="preserve"> 30 - 34</t>
  </si>
  <si>
    <t xml:space="preserve"> 25 - 29</t>
  </si>
  <si>
    <t xml:space="preserve"> 20 - 24</t>
  </si>
  <si>
    <t xml:space="preserve"> Age Group
 of Wife (in Years)</t>
  </si>
  <si>
    <t>الحالة الزواجية  Marital Status</t>
  </si>
  <si>
    <t xml:space="preserve"> فئات عمر الزوج (بالسنوات)</t>
  </si>
  <si>
    <t>Table No. (12-1)</t>
  </si>
  <si>
    <t>جدول رقم (12-1)</t>
  </si>
  <si>
    <t>MARRIAGE BY HUSBAND MARITAL STATUS AND AGE GROUP</t>
  </si>
  <si>
    <t>عقود الزواج حسب الحالة الزواجية للزوج وفئة عمر الزوج</t>
  </si>
  <si>
    <t>Table No. (12-2)</t>
  </si>
  <si>
    <t>جدول رقم (12-2)</t>
  </si>
  <si>
    <t>Table No. (12-3)</t>
  </si>
  <si>
    <t>جدول رقم (12-3)</t>
  </si>
  <si>
    <t xml:space="preserve">60 + </t>
  </si>
  <si>
    <r>
      <t xml:space="preserve">أرمله
 </t>
    </r>
    <r>
      <rPr>
        <sz val="10"/>
        <rFont val="Arial"/>
        <family val="2"/>
      </rPr>
      <t>Widowed</t>
    </r>
  </si>
  <si>
    <r>
      <t xml:space="preserve">مطلقه
 </t>
    </r>
    <r>
      <rPr>
        <sz val="10"/>
        <rFont val="Arial"/>
        <family val="2"/>
      </rPr>
      <t>Divorced</t>
    </r>
  </si>
  <si>
    <t xml:space="preserve"> Age Group
 of Wife in Years</t>
  </si>
  <si>
    <t xml:space="preserve"> فئات عمر الزوجة بالسنوات</t>
  </si>
  <si>
    <t>Table No. (13-1)</t>
  </si>
  <si>
    <t>جدول رقم (13-1)</t>
  </si>
  <si>
    <t>قطريات Qataris</t>
  </si>
  <si>
    <t>MARRIAGE BY WIFE MARITAL STATUS AND AGE GROUP</t>
  </si>
  <si>
    <t>عقود الزواج حسب الحالة الزواجية للزوجة وفئة عمرها</t>
  </si>
  <si>
    <t>Table No. (13-2)</t>
  </si>
  <si>
    <t>جدول رقم (13-2)</t>
  </si>
  <si>
    <t>غير قطريات Non-Qataris</t>
  </si>
  <si>
    <t>Table No. (13-3)</t>
  </si>
  <si>
    <t>جدول رقم (13-3)</t>
  </si>
  <si>
    <t>55+</t>
  </si>
  <si>
    <t xml:space="preserve"> Age Group</t>
  </si>
  <si>
    <r>
      <t xml:space="preserve">النسبة
</t>
    </r>
    <r>
      <rPr>
        <b/>
        <sz val="9"/>
        <rFont val="Arial"/>
        <family val="2"/>
      </rPr>
      <t>Percentage</t>
    </r>
  </si>
  <si>
    <r>
      <t xml:space="preserve">الــزوجة
</t>
    </r>
    <r>
      <rPr>
        <sz val="10"/>
        <rFont val="Arial"/>
        <family val="2"/>
      </rPr>
      <t>Wife</t>
    </r>
  </si>
  <si>
    <r>
      <t xml:space="preserve">الـزوج
</t>
    </r>
    <r>
      <rPr>
        <sz val="10"/>
        <rFont val="Arial"/>
        <family val="2"/>
      </rPr>
      <t>Husband</t>
    </r>
  </si>
  <si>
    <t>العمر بالسنوات</t>
  </si>
  <si>
    <t>Table No. (14-1)</t>
  </si>
  <si>
    <t>جدول رقم (14-1)</t>
  </si>
  <si>
    <t>FIRST MARRIAGES OF HUSBAND AND WIFE BY AGE</t>
  </si>
  <si>
    <t>عقود الزواج الأول للزوج والزوجة حسب العمر</t>
  </si>
  <si>
    <t>Table No. (14-2)</t>
  </si>
  <si>
    <t>جدول رقم (14-2)</t>
  </si>
  <si>
    <t>Table No. (14-3)</t>
  </si>
  <si>
    <t>جدول رقم (14-3)</t>
  </si>
  <si>
    <t xml:space="preserve">Percentage of Wife  </t>
  </si>
  <si>
    <t>النسبة للزوجة</t>
  </si>
  <si>
    <t xml:space="preserve">المجموع  </t>
  </si>
  <si>
    <t>Not stated</t>
  </si>
  <si>
    <t>Univ &amp; Above</t>
  </si>
  <si>
    <t>جامعي فما فوق</t>
  </si>
  <si>
    <t>Secondary</t>
  </si>
  <si>
    <t>ثانوي</t>
  </si>
  <si>
    <t>Preparatory</t>
  </si>
  <si>
    <t>إعدادي</t>
  </si>
  <si>
    <t>Primary</t>
  </si>
  <si>
    <t>إبتدائي</t>
  </si>
  <si>
    <t>Read and Write</t>
  </si>
  <si>
    <t>يقرأ و يكتب</t>
  </si>
  <si>
    <t>Illiterate</t>
  </si>
  <si>
    <t>أمي</t>
  </si>
  <si>
    <r>
      <t xml:space="preserve">جامعية فما فوق
</t>
    </r>
    <r>
      <rPr>
        <sz val="10"/>
        <rFont val="Arial"/>
        <family val="2"/>
      </rPr>
      <t>Univ &amp; Above</t>
    </r>
  </si>
  <si>
    <r>
      <t xml:space="preserve">ثانوية
</t>
    </r>
    <r>
      <rPr>
        <sz val="10"/>
        <rFont val="Arial"/>
        <family val="2"/>
      </rPr>
      <t>Secondary</t>
    </r>
  </si>
  <si>
    <r>
      <t xml:space="preserve">إعدادية
</t>
    </r>
    <r>
      <rPr>
        <sz val="10"/>
        <rFont val="Arial"/>
        <family val="2"/>
      </rPr>
      <t>Preparatory</t>
    </r>
  </si>
  <si>
    <r>
      <t xml:space="preserve">إبتدائية
</t>
    </r>
    <r>
      <rPr>
        <sz val="10"/>
        <rFont val="Arial"/>
        <family val="2"/>
      </rPr>
      <t>Primary</t>
    </r>
  </si>
  <si>
    <r>
      <t xml:space="preserve">تقرا وتكتب
</t>
    </r>
    <r>
      <rPr>
        <sz val="10"/>
        <rFont val="Arial"/>
        <family val="2"/>
      </rPr>
      <t>Read and Write</t>
    </r>
  </si>
  <si>
    <r>
      <t xml:space="preserve">أمية
</t>
    </r>
    <r>
      <rPr>
        <sz val="10"/>
        <rFont val="Arial"/>
        <family val="2"/>
      </rPr>
      <t>Illiterate</t>
    </r>
  </si>
  <si>
    <t>Educational Status of Husband</t>
  </si>
  <si>
    <r>
      <t>النسبة للزوج</t>
    </r>
    <r>
      <rPr>
        <sz val="10"/>
        <rFont val="Arial"/>
        <family val="2"/>
      </rPr>
      <t xml:space="preserve">
Percentage of husband</t>
    </r>
  </si>
  <si>
    <t>Educational Status of Wife الحالة التعليمية للزوجة</t>
  </si>
  <si>
    <t>الحالة التعليمية للزوج</t>
  </si>
  <si>
    <t>Table No. (15-1)</t>
  </si>
  <si>
    <t>جدول رقم (15-1)</t>
  </si>
  <si>
    <t>MARRIAGES BY EDUCATIONAL STATUS OF WIFE AND HUSBAND</t>
  </si>
  <si>
    <t>عقود الزواج حسب الحالة التعليمية للزوجة والزوج</t>
  </si>
  <si>
    <t>Table No. (15-2)</t>
  </si>
  <si>
    <t>جدول رقم (15-2)</t>
  </si>
  <si>
    <t>غير مبين
Not Stated</t>
  </si>
  <si>
    <t>جامعي فما فوق
Univ &amp; Above</t>
  </si>
  <si>
    <t>ثانوي
Secondary</t>
  </si>
  <si>
    <t>إعدادي
Preparatory</t>
  </si>
  <si>
    <t>إبتدائي
Primary</t>
  </si>
  <si>
    <t>يقرأ ويكتب
Read and Write</t>
  </si>
  <si>
    <t>أمي
Illiterate</t>
  </si>
  <si>
    <t>الزوجة Wife</t>
  </si>
  <si>
    <t>الزوج Husband</t>
  </si>
  <si>
    <t>Table No. (15-3)</t>
  </si>
  <si>
    <t>جدول رقم (15-3)</t>
  </si>
  <si>
    <r>
      <t xml:space="preserve"> Graph No. (7) </t>
    </r>
    <r>
      <rPr>
        <b/>
        <sz val="12"/>
        <rFont val="Arial"/>
        <family val="2"/>
      </rPr>
      <t>شكل رقم</t>
    </r>
  </si>
  <si>
    <t>(1) INCLUDING THOSE WHO ARE SEEKING WORK AND UNECONOMICALLY ACTIVE</t>
  </si>
  <si>
    <t>(1) تشمل الأشخاص الذين يبحثون عن عمل وغير النشيطين إقتصاديا</t>
  </si>
  <si>
    <t xml:space="preserve">Grand Total  </t>
  </si>
  <si>
    <t xml:space="preserve">المجموع العام  </t>
  </si>
  <si>
    <t>No Occup. (1)</t>
  </si>
  <si>
    <t>بدون مهنة (1)</t>
  </si>
  <si>
    <t>Not Known</t>
  </si>
  <si>
    <t>الأفراد الذين لم يصنفوا حسب المهنة</t>
  </si>
  <si>
    <t>المهن العادية</t>
  </si>
  <si>
    <t>مشغلو الالات والمعدات ومجمعوها</t>
  </si>
  <si>
    <t>العاملون في الحرف وما اليها من المهن</t>
  </si>
  <si>
    <t>العمال المهرة في الزراعة وصيدالاسماك</t>
  </si>
  <si>
    <t>العاملون في الخدمات والباعة في المحلات التجارية والأسواق</t>
  </si>
  <si>
    <t>الكتبة</t>
  </si>
  <si>
    <t>الفنيون والاختصاصيون المساعدون</t>
  </si>
  <si>
    <t>الاختصاصيون</t>
  </si>
  <si>
    <t>المشرعون وموظفو الادارة العليا والمديرون</t>
  </si>
  <si>
    <t>G.Total</t>
  </si>
  <si>
    <t>ELEMENTARY OCCUPATIONS</t>
  </si>
  <si>
    <t>PLANT AND MACHINE OPERATORS AND ASSEMBLERS</t>
  </si>
  <si>
    <t>CRAFT AND RELATED TRADES WORKERS</t>
  </si>
  <si>
    <t>SKILLED AGRICULTURAL AND FISHERY WORKERS</t>
  </si>
  <si>
    <t>SERVICE WORKERS AND SHOP AND MARKET SALES WO</t>
  </si>
  <si>
    <t>CLERKS</t>
  </si>
  <si>
    <t>TECHNICIANS AND ASSOCIATE PROFESSIONALS</t>
  </si>
  <si>
    <t>PROFESSIONALS</t>
  </si>
  <si>
    <t>LEGISLATORS, SENIOR OFFICIALS AND MANAGERS</t>
  </si>
  <si>
    <t>المجموع العام</t>
  </si>
  <si>
    <t>Occupation of Husband</t>
  </si>
  <si>
    <r>
      <rPr>
        <b/>
        <sz val="12"/>
        <rFont val="Arial"/>
        <family val="2"/>
      </rPr>
      <t xml:space="preserve"> مهنة الزوجة</t>
    </r>
    <r>
      <rPr>
        <b/>
        <sz val="10"/>
        <rFont val="Arial"/>
        <family val="2"/>
      </rPr>
      <t xml:space="preserve">  Occupation of Wife</t>
    </r>
  </si>
  <si>
    <t>مهنة الزوج</t>
  </si>
  <si>
    <t>Table No. (16-1)</t>
  </si>
  <si>
    <t>جدول رقم (16-1)</t>
  </si>
  <si>
    <t>MARRIAGES BY WIFE AND HUSBAND OCCUPATION</t>
  </si>
  <si>
    <t>عقود الزواج حسب مهنة الزوجة والزوج</t>
  </si>
  <si>
    <t>Table No. (16-2)</t>
  </si>
  <si>
    <t>جدول رقم (16-2)</t>
  </si>
  <si>
    <t>الجنسية</t>
  </si>
  <si>
    <t>بدون مهنة
 No Occup</t>
  </si>
  <si>
    <t>الأفراد الذين لم يصنفوا حسب المهنة
Not Known</t>
  </si>
  <si>
    <t>المهن العادية
 Elementary Occupations</t>
  </si>
  <si>
    <t>مشغلو الالات والمعدات ومجمعوها
PLANT AND MACHINE OPERATORS AND ASSEMBLERS</t>
  </si>
  <si>
    <t>العاملون في الحرف وما اليها من المهن
CRAFT AND RELATED TRADES WORKERS</t>
  </si>
  <si>
    <t>العمال المهرة في الزراعة وصيدالاسماك
Skilled Agricultural And Fishery Workers</t>
  </si>
  <si>
    <t>العاملون في الخدمات والباعة في المحلات التجارية والأسواق
Service Workers And Shop And Market Sales Workers</t>
  </si>
  <si>
    <t>الكتبة
Clerks</t>
  </si>
  <si>
    <t>الفنيون والاختصاصيون المساعدون
Technicians And Associate Professionals</t>
  </si>
  <si>
    <t>الاختصاصيون
Professionals</t>
  </si>
  <si>
    <t>المشرعون وموظفو الادارة العليا والمديرون
Legislators, Senior Officials And Managers</t>
  </si>
  <si>
    <t>Table No. (16-3)</t>
  </si>
  <si>
    <t>جدول رقم (16-3)</t>
  </si>
  <si>
    <r>
      <t xml:space="preserve"> Graph No. (8) </t>
    </r>
    <r>
      <rPr>
        <b/>
        <sz val="12"/>
        <rFont val="Arial"/>
        <family val="2"/>
      </rPr>
      <t>شكل رقم</t>
    </r>
  </si>
  <si>
    <t>Table No. (17-1)</t>
  </si>
  <si>
    <t>جدول رقم (17-1)</t>
  </si>
  <si>
    <t>Relation From First Class القرابة من الدرجة الأولى</t>
  </si>
  <si>
    <t>MARRIAGES FOR QATARIS ACCORDING TO THE RELATIONS,
 AGE GROUP OF WIFE AND HUSBAND</t>
  </si>
  <si>
    <t>عقود الزواج للقطريين حسب صلة القرابة وفئة عمر الزوجة والزوج</t>
  </si>
  <si>
    <t>Table No. (17-2)</t>
  </si>
  <si>
    <t>جدول رقم (17-2)</t>
  </si>
  <si>
    <t>Relation From Second Class القرابة من الدرجة الثانية</t>
  </si>
  <si>
    <t>Table No. (17-3)</t>
  </si>
  <si>
    <t>جدول رقم (17-3)</t>
  </si>
  <si>
    <t>No Relation لا توجد صلة قرابة</t>
  </si>
  <si>
    <t>الزوج غير قطري والزوجة غير قطرية</t>
  </si>
  <si>
    <t>الزوج غير قطري والزوجة قطرية</t>
  </si>
  <si>
    <t>الزوج قطرية والزوجة غير قطرية</t>
  </si>
  <si>
    <t>الزوج قطري والزوجة قطرية</t>
  </si>
  <si>
    <t>عدد الحالات
No. of cases</t>
  </si>
  <si>
    <t>No. of sons</t>
  </si>
  <si>
    <t>عدد الأبناء</t>
  </si>
  <si>
    <t>No. of cases</t>
  </si>
  <si>
    <t>عدد الحالات</t>
  </si>
  <si>
    <t>Non-Qatari Husband &amp; Non-Qatari Wife</t>
  </si>
  <si>
    <t>Non-Qatari Husband &amp; Qatari Wife</t>
  </si>
  <si>
    <t>Qatari Husband &amp; Non-Qatari Wife</t>
  </si>
  <si>
    <t>الزوج قطري والزوجة غير قطرية</t>
  </si>
  <si>
    <t>Qatari Husband &amp; Qatari Wife</t>
  </si>
  <si>
    <t>Nationality</t>
  </si>
  <si>
    <t>Particulars</t>
  </si>
  <si>
    <t>البيـــان</t>
  </si>
  <si>
    <t>عقود الزواج حسب عدد أبناء الزوج وجنسية الزوج والزوجة</t>
  </si>
  <si>
    <r>
      <t xml:space="preserve"> Graph No. (9) </t>
    </r>
    <r>
      <rPr>
        <b/>
        <sz val="12"/>
        <rFont val="Arial"/>
        <family val="2"/>
      </rPr>
      <t>شكل رقم</t>
    </r>
  </si>
  <si>
    <r>
      <t>معدل الطلاق العام</t>
    </r>
    <r>
      <rPr>
        <sz val="11"/>
        <rFont val="Arial"/>
        <family val="2"/>
      </rPr>
      <t xml:space="preserve">
</t>
    </r>
    <r>
      <rPr>
        <sz val="9"/>
        <rFont val="Arial"/>
        <family val="2"/>
      </rPr>
      <t xml:space="preserve">General Dirovces Rates </t>
    </r>
  </si>
  <si>
    <r>
      <t xml:space="preserve">إشهادات الطلاق 
</t>
    </r>
    <r>
      <rPr>
        <sz val="9"/>
        <rFont val="Arial"/>
        <family val="2"/>
      </rPr>
      <t>Divorces</t>
    </r>
  </si>
  <si>
    <t>جدول رقم (19)</t>
  </si>
  <si>
    <t>معدل الطلاق العام حسب الجنسية والجنس لكل ألف من السكان  (15 سنة فأكثر)</t>
  </si>
  <si>
    <r>
      <t xml:space="preserve"> Graph No. (10) </t>
    </r>
    <r>
      <rPr>
        <b/>
        <sz val="12"/>
        <rFont val="Arial"/>
        <family val="2"/>
      </rPr>
      <t>شكل رقم</t>
    </r>
  </si>
  <si>
    <t>جدول رقم (20)</t>
  </si>
  <si>
    <t>Graph No. (11) شكل رقم</t>
  </si>
  <si>
    <r>
      <t xml:space="preserve">   ديسمبر  </t>
    </r>
    <r>
      <rPr>
        <sz val="6"/>
        <rFont val="Arial"/>
        <family val="2"/>
      </rPr>
      <t>Dec</t>
    </r>
  </si>
  <si>
    <r>
      <t xml:space="preserve">     نوفمبر    </t>
    </r>
    <r>
      <rPr>
        <sz val="6"/>
        <rFont val="Arial"/>
        <family val="2"/>
      </rPr>
      <t>Nov</t>
    </r>
  </si>
  <si>
    <r>
      <t xml:space="preserve">     اكتوبر    </t>
    </r>
    <r>
      <rPr>
        <sz val="6"/>
        <rFont val="Arial"/>
        <family val="2"/>
      </rPr>
      <t>Oct</t>
    </r>
  </si>
  <si>
    <r>
      <t xml:space="preserve">    سبتمبر    </t>
    </r>
    <r>
      <rPr>
        <sz val="6"/>
        <rFont val="Arial"/>
        <family val="2"/>
      </rPr>
      <t>Sep</t>
    </r>
  </si>
  <si>
    <r>
      <t xml:space="preserve">   اغسطس   </t>
    </r>
    <r>
      <rPr>
        <sz val="6"/>
        <rFont val="Arial"/>
        <family val="2"/>
      </rPr>
      <t>Aug</t>
    </r>
  </si>
  <si>
    <r>
      <t xml:space="preserve">    يوليو    </t>
    </r>
    <r>
      <rPr>
        <sz val="6"/>
        <rFont val="Arial"/>
        <family val="2"/>
      </rPr>
      <t>Jul</t>
    </r>
  </si>
  <si>
    <r>
      <t xml:space="preserve">    يونيو    </t>
    </r>
    <r>
      <rPr>
        <sz val="6"/>
        <rFont val="Arial"/>
        <family val="2"/>
      </rPr>
      <t>Jun</t>
    </r>
  </si>
  <si>
    <r>
      <t xml:space="preserve">    مايو    </t>
    </r>
    <r>
      <rPr>
        <sz val="6"/>
        <rFont val="Arial"/>
        <family val="2"/>
      </rPr>
      <t>May</t>
    </r>
  </si>
  <si>
    <r>
      <t xml:space="preserve">    ابريل    </t>
    </r>
    <r>
      <rPr>
        <sz val="6"/>
        <rFont val="Arial"/>
        <family val="2"/>
      </rPr>
      <t>Apr</t>
    </r>
  </si>
  <si>
    <r>
      <t xml:space="preserve">    مارس    </t>
    </r>
    <r>
      <rPr>
        <sz val="6"/>
        <rFont val="Arial"/>
        <family val="2"/>
      </rPr>
      <t>Mar</t>
    </r>
  </si>
  <si>
    <r>
      <t xml:space="preserve">    فبراير   </t>
    </r>
    <r>
      <rPr>
        <sz val="6"/>
        <rFont val="Arial"/>
        <family val="2"/>
      </rPr>
      <t>Feb</t>
    </r>
  </si>
  <si>
    <r>
      <t xml:space="preserve">    يناير    </t>
    </r>
    <r>
      <rPr>
        <sz val="6"/>
        <rFont val="Arial"/>
        <family val="2"/>
      </rPr>
      <t>Jan</t>
    </r>
  </si>
  <si>
    <r>
      <t xml:space="preserve">قطري  </t>
    </r>
    <r>
      <rPr>
        <sz val="8"/>
        <rFont val="Arial"/>
        <family val="2"/>
      </rPr>
      <t>Qatari</t>
    </r>
  </si>
  <si>
    <r>
      <t xml:space="preserve">غير قطري </t>
    </r>
    <r>
      <rPr>
        <sz val="8"/>
        <rFont val="Arial"/>
        <family val="2"/>
      </rPr>
      <t>Non Qatari</t>
    </r>
  </si>
  <si>
    <t>جدول رقم (21)</t>
  </si>
  <si>
    <t>DIVORCES BY NATIONALITY OF HUSBAND, NATIONALITY
OF WIFE AND MONTH</t>
  </si>
  <si>
    <t>إشهادات الطلاق حسب جنسية الزوج والزوجة والشهر</t>
  </si>
  <si>
    <r>
      <t xml:space="preserve"> Graph No. (12) </t>
    </r>
    <r>
      <rPr>
        <b/>
        <sz val="12"/>
        <rFont val="Arial"/>
        <family val="2"/>
      </rPr>
      <t>شكل رقم</t>
    </r>
  </si>
  <si>
    <t>Percentage of type of divorce</t>
  </si>
  <si>
    <t>النسبة المئوية لنوع الطلاق</t>
  </si>
  <si>
    <t>دول اوروبية</t>
  </si>
  <si>
    <t>دول اسيوية</t>
  </si>
  <si>
    <r>
      <t xml:space="preserve">المجموع
</t>
    </r>
    <r>
      <rPr>
        <sz val="10"/>
        <rFont val="Arial"/>
        <family val="2"/>
      </rPr>
      <t>Total</t>
    </r>
  </si>
  <si>
    <t>نوع الطلاق Type of Divorce</t>
  </si>
  <si>
    <t>DIVORCES BY TYPE OF DIVORCE AND NATIONALITY OF HUSBAND</t>
  </si>
  <si>
    <t>إشهادات الطلاق حسب نوع الطلاق وجنسية الزوج</t>
  </si>
  <si>
    <r>
      <t xml:space="preserve"> Graph No. (13) </t>
    </r>
    <r>
      <rPr>
        <b/>
        <sz val="12"/>
        <rFont val="Arial"/>
        <family val="2"/>
      </rPr>
      <t>شكل رقم</t>
    </r>
  </si>
  <si>
    <r>
      <t xml:space="preserve"> Graph No. (14) </t>
    </r>
    <r>
      <rPr>
        <b/>
        <sz val="12"/>
        <rFont val="Arial"/>
        <family val="2"/>
      </rPr>
      <t>شكل رقم</t>
    </r>
  </si>
  <si>
    <t xml:space="preserve">75 + </t>
  </si>
  <si>
    <t xml:space="preserve"> 70 - 74</t>
  </si>
  <si>
    <t xml:space="preserve"> 65 - 69</t>
  </si>
  <si>
    <t xml:space="preserve"> 60 - 64</t>
  </si>
  <si>
    <t>Age Group of Husband
in Years</t>
  </si>
  <si>
    <r>
      <t xml:space="preserve">النسبة المئوية لفئة عمر الزوج
</t>
    </r>
    <r>
      <rPr>
        <sz val="8"/>
        <rFont val="Arial"/>
        <family val="2"/>
        <charset val="178"/>
      </rPr>
      <t xml:space="preserve">Percentage of Husband </t>
    </r>
  </si>
  <si>
    <t>فئة عمر الزوج بالسنوات</t>
  </si>
  <si>
    <t>DIVORCES BY TYPE OF DIVORCE AND AGE GROUP OF HUSBAND</t>
  </si>
  <si>
    <t>إشهادات الطلاق حسب نوع الطلاق وفئة عمر الزوج</t>
  </si>
  <si>
    <t>Age Group of Wife
(In Years)</t>
  </si>
  <si>
    <r>
      <t xml:space="preserve">النسبة المئوية لفئة عمر الزوجة
</t>
    </r>
    <r>
      <rPr>
        <sz val="8"/>
        <rFont val="Arial"/>
        <family val="2"/>
        <charset val="178"/>
      </rPr>
      <t xml:space="preserve">Percentage of Wife </t>
    </r>
  </si>
  <si>
    <t>فئة عمر الزوجة بالسنوات</t>
  </si>
  <si>
    <t>DIVORCES BY TYPE OF DIVORCE AND AGE GROUP OF WIFE</t>
  </si>
  <si>
    <t>إشهادات الطلاق حسب نوع الطلاق وفئة عمر الزوجة</t>
  </si>
  <si>
    <t>Percentage Type of Divorce</t>
  </si>
  <si>
    <t>النسبة لنوع الطلاق</t>
  </si>
  <si>
    <t>25 +</t>
  </si>
  <si>
    <t xml:space="preserve"> 15 - 19</t>
  </si>
  <si>
    <t>10-14</t>
  </si>
  <si>
    <t xml:space="preserve"> 10 - 14</t>
  </si>
  <si>
    <t>5-9</t>
  </si>
  <si>
    <t xml:space="preserve"> 5 - 9</t>
  </si>
  <si>
    <t>Before Consummation</t>
  </si>
  <si>
    <t>قبل الدخول</t>
  </si>
  <si>
    <t>Duration of Marriage
In Years</t>
  </si>
  <si>
    <r>
      <t>النسبة لمدة الحياة الزواجية</t>
    </r>
    <r>
      <rPr>
        <sz val="8"/>
        <rFont val="Arial"/>
        <family val="2"/>
        <charset val="178"/>
      </rPr>
      <t xml:space="preserve">
Percentage of duration of marriage </t>
    </r>
  </si>
  <si>
    <t>مدة الحياة الزواجية بالسنوات</t>
  </si>
  <si>
    <t>Table No (25-1)</t>
  </si>
  <si>
    <t>جدول رقم (25-1)</t>
  </si>
  <si>
    <t>DIVORCES BY TYPE OF DIVORCE AND DURATION OF MARRIAGE OF HUSBAND</t>
  </si>
  <si>
    <t>إشهادات الطلاق حسب نوع الطلاق ومدة الحياة الزواجية للزوج</t>
  </si>
  <si>
    <t>Table No (25-2)</t>
  </si>
  <si>
    <t>جدول رقم (25-2)</t>
  </si>
  <si>
    <t>Table No (25-3)</t>
  </si>
  <si>
    <t>جدول رقم (25-3)</t>
  </si>
  <si>
    <t>Table No (26-1)</t>
  </si>
  <si>
    <t>جدول رقم (26-1)</t>
  </si>
  <si>
    <t>DIVORCES BY TYPE OF DIVORCE AND DURATION OF MARRIAGE OF WIFE</t>
  </si>
  <si>
    <t>إشهادات الطلاق حسب نوع الطلاق ومدة الحياة الزواجية للزوجة</t>
  </si>
  <si>
    <t>Table No (26-2)</t>
  </si>
  <si>
    <t>جدول رقم (26-2)</t>
  </si>
  <si>
    <t>Table No (26-3)</t>
  </si>
  <si>
    <t>جدول رقم (26-3)</t>
  </si>
  <si>
    <t>(1) DURATION OF MARRIAGE FOR LAST MARRIAGE ONLY</t>
  </si>
  <si>
    <t xml:space="preserve">(1) مدة الحياة الزواجية للزواج الأخير فقط </t>
  </si>
  <si>
    <r>
      <t>قبل الدخول</t>
    </r>
    <r>
      <rPr>
        <sz val="10"/>
        <rFont val="Arial"/>
        <family val="2"/>
      </rPr>
      <t xml:space="preserve">
B.Cons.</t>
    </r>
  </si>
  <si>
    <t>Age Group of Husband
(In Years)</t>
  </si>
  <si>
    <t>DIVORCES BY DURATION OF MARRIAGE AND AGE GROUP OF HUSBAND</t>
  </si>
  <si>
    <t>إشهادات الطلاق حسب مدة الحياة الزواجية وفئة عمر الزوج</t>
  </si>
  <si>
    <t xml:space="preserve"> Duration of Marriages In Years (1) مدة الحياة الزواجية بالسنوات</t>
  </si>
  <si>
    <t>DIVORCES BY DURATION OF MARRIAGE AND AGE GROUP OF WIFE</t>
  </si>
  <si>
    <t>إشهادات الطلاق حسب مدة الحياة الزواجية وفئة عمر الزوجة</t>
  </si>
  <si>
    <t xml:space="preserve"> Age Group
 of Husband (in Years)</t>
  </si>
  <si>
    <t>DIVORCES BY AGE GROUP OF WIFE AND HUSBAND</t>
  </si>
  <si>
    <t>إشهادات الطلاق حسب فئة عمر الزوجة والزوج</t>
  </si>
  <si>
    <t>DIVORCES BY HUSBAND AGE GROUP AND NATIONALITY</t>
  </si>
  <si>
    <t>إشهادات الطلاق حسب فئة عمر الزوج وجنسيته</t>
  </si>
  <si>
    <t>DIVORCES BY WIFE AGE GROUP AND NATIONALITY</t>
  </si>
  <si>
    <t>إشهادات الطلاق حسب فئة عمر الزوجة وجنسيتها</t>
  </si>
  <si>
    <t>بافي دول مجلس التعاون
Other G.C.C. Countries</t>
  </si>
  <si>
    <t>DIVORCES BY NATIONALITY OF WIFE AND HUSBAND</t>
  </si>
  <si>
    <t>إشهادات الطلاق حسب جنسية الزوجة والزوج</t>
  </si>
  <si>
    <r>
      <t xml:space="preserve"> Graph No. (15) </t>
    </r>
    <r>
      <rPr>
        <b/>
        <sz val="12"/>
        <rFont val="Arial"/>
        <family val="2"/>
      </rPr>
      <t>شكل رقم</t>
    </r>
  </si>
  <si>
    <t>لا يوجد
None</t>
  </si>
  <si>
    <t>عدد الزوجات الباقيات بالعصمة Number of Wives</t>
  </si>
  <si>
    <t>DIVORCES BY EDUCATIONAL STATUS OF WIFE AND HUSBAND</t>
  </si>
  <si>
    <t>إشهادات الطلاق حسب الحالة التعليمية للزوجة والزوج</t>
  </si>
  <si>
    <r>
      <t xml:space="preserve"> Graph No. (16) </t>
    </r>
    <r>
      <rPr>
        <b/>
        <sz val="12"/>
        <rFont val="Arial"/>
        <family val="2"/>
      </rPr>
      <t>شكل رقم</t>
    </r>
  </si>
  <si>
    <t>Age Group of Wife In Years</t>
  </si>
  <si>
    <t>DIVORCES BY EDUCATIONAL STATUS OF WIFE HER AGE GROUP</t>
  </si>
  <si>
    <t>إشهادات الطلاق حسب الحالة التعليمية للزوجة وفئة عمرها</t>
  </si>
  <si>
    <t>إشهادات الطلاق حسب مهنة الزوجة والزوج</t>
  </si>
  <si>
    <r>
      <t xml:space="preserve"> Graph No. (17) </t>
    </r>
    <r>
      <rPr>
        <b/>
        <sz val="12"/>
        <rFont val="Arial"/>
        <family val="2"/>
      </rPr>
      <t>شكل رقم</t>
    </r>
  </si>
  <si>
    <t>إشهادات الطلاق للزوج
 Husband's Divorces</t>
  </si>
  <si>
    <t>إشهادات الطلاق للزوجة
 Wife's Divorces</t>
  </si>
  <si>
    <t>القرابة من الدرجة الأولى  Relation of first class</t>
  </si>
  <si>
    <t>DIVORCES OF QATARI  ACCORDING TO RELATION AND AGE GROUP OF WIFE AND HUSBAND</t>
  </si>
  <si>
    <t xml:space="preserve">إشهادات الطلاق للقطريين حسب صلة القرابة وفئة عمر الزوج والزوجة </t>
  </si>
  <si>
    <r>
      <t xml:space="preserve"> Graph No. (18) </t>
    </r>
    <r>
      <rPr>
        <b/>
        <sz val="12"/>
        <rFont val="Arial"/>
        <family val="2"/>
      </rPr>
      <t>شكل رقم</t>
    </r>
  </si>
  <si>
    <t>القرابة من الدرجة الثانية  Relation of second class</t>
  </si>
  <si>
    <r>
      <t xml:space="preserve"> Graph No. (19) </t>
    </r>
    <r>
      <rPr>
        <b/>
        <sz val="12"/>
        <rFont val="Arial"/>
        <family val="2"/>
      </rPr>
      <t>شكل رقم</t>
    </r>
  </si>
  <si>
    <t xml:space="preserve">لا توجد صلة قرابة No Relation </t>
  </si>
  <si>
    <r>
      <t xml:space="preserve"> Graph No. (20) </t>
    </r>
    <r>
      <rPr>
        <b/>
        <sz val="12"/>
        <rFont val="Arial"/>
        <family val="2"/>
      </rPr>
      <t>شكل رقم</t>
    </r>
  </si>
  <si>
    <t xml:space="preserve">النسبة </t>
  </si>
  <si>
    <r>
      <t xml:space="preserve">النسبة </t>
    </r>
    <r>
      <rPr>
        <sz val="10"/>
        <rFont val="Arial"/>
        <family val="2"/>
      </rPr>
      <t xml:space="preserve">
Percentage</t>
    </r>
  </si>
  <si>
    <t xml:space="preserve">عدد الأبناء للمطلقة حسب فئة عمرالزوج والزوجة </t>
  </si>
  <si>
    <r>
      <t xml:space="preserve"> Graph No. (21) </t>
    </r>
    <r>
      <rPr>
        <b/>
        <sz val="12"/>
        <rFont val="Arial"/>
        <family val="2"/>
      </rPr>
      <t>شكل رقم</t>
    </r>
  </si>
  <si>
    <r>
      <t xml:space="preserve"> Graph No. (22) </t>
    </r>
    <r>
      <rPr>
        <b/>
        <sz val="12"/>
        <rFont val="Arial"/>
        <family val="2"/>
      </rPr>
      <t>شكل رقم</t>
    </r>
  </si>
  <si>
    <t>Table No. (39-1)</t>
  </si>
  <si>
    <t>جدول رقم (39-1)</t>
  </si>
  <si>
    <t xml:space="preserve">Percentage </t>
  </si>
  <si>
    <t>Table No. (39-2)</t>
  </si>
  <si>
    <t>جدول رقم (39-2)</t>
  </si>
  <si>
    <r>
      <t xml:space="preserve"> Graph No. (24) </t>
    </r>
    <r>
      <rPr>
        <b/>
        <sz val="12"/>
        <rFont val="Arial"/>
        <family val="2"/>
      </rPr>
      <t>شكل رقم</t>
    </r>
  </si>
  <si>
    <r>
      <t xml:space="preserve">عدد الحالات
</t>
    </r>
    <r>
      <rPr>
        <sz val="10"/>
        <rFont val="Arial"/>
        <family val="2"/>
      </rPr>
      <t>No. of cases</t>
    </r>
  </si>
  <si>
    <r>
      <t xml:space="preserve">عدد الأبناء
</t>
    </r>
    <r>
      <rPr>
        <sz val="10"/>
        <rFont val="Arial"/>
        <family val="2"/>
      </rPr>
      <t>No. of sons</t>
    </r>
  </si>
  <si>
    <t xml:space="preserve"> Duration of Marriage for Husband</t>
  </si>
  <si>
    <t>مدة الحياة الزواجية للزوج</t>
  </si>
  <si>
    <t>Table No. (7)</t>
  </si>
  <si>
    <t>Table No. (5)</t>
  </si>
  <si>
    <t>Table No. (4)</t>
  </si>
  <si>
    <t>Table No. (3)</t>
  </si>
  <si>
    <t xml:space="preserve">Table No. (1)                                                         </t>
  </si>
  <si>
    <t>جدول رقم (10)</t>
  </si>
  <si>
    <t>Table No. (10)</t>
  </si>
  <si>
    <t>جدول رقم (18-1)</t>
  </si>
  <si>
    <t>Table No. (18-1)</t>
  </si>
  <si>
    <t>جدول رقم (18-3)</t>
  </si>
  <si>
    <t>Table No. (18-3)</t>
  </si>
  <si>
    <t>جدول رقم (18-2)</t>
  </si>
  <si>
    <t>Table No. (18-2)</t>
  </si>
  <si>
    <t>Table No. (19)</t>
  </si>
  <si>
    <t>Table No. (20)</t>
  </si>
  <si>
    <t>Table No. (21)</t>
  </si>
  <si>
    <t>جدول رقم (23)</t>
  </si>
  <si>
    <t>Table No. (23)</t>
  </si>
  <si>
    <t>جدول رقم (24)</t>
  </si>
  <si>
    <t>Table No. (24)</t>
  </si>
  <si>
    <t>NOT REGISTERED MARRIAGES AND DIVORCES
BY  NATIONALITY</t>
  </si>
  <si>
    <t xml:space="preserve">Table No. (2)                                                         </t>
  </si>
  <si>
    <t>جدول رقم (35)</t>
  </si>
  <si>
    <t>Table No. (35)</t>
  </si>
  <si>
    <t>جدول رقم (40-1)</t>
  </si>
  <si>
    <t>Table No. (40-1)</t>
  </si>
  <si>
    <t>جدول رقم (40-3)</t>
  </si>
  <si>
    <t>Table No. (40-3)</t>
  </si>
  <si>
    <t>جدول رقم (40-2)</t>
  </si>
  <si>
    <t>Table No. (40-2)</t>
  </si>
  <si>
    <t>جدول رقم (41-1)</t>
  </si>
  <si>
    <t>Table No. (41-1)</t>
  </si>
  <si>
    <t>جدول رقم (41-3)</t>
  </si>
  <si>
    <t>Table No. (41-3)</t>
  </si>
  <si>
    <t>جدول رقم (41-2)</t>
  </si>
  <si>
    <t>Table No. (41-2)</t>
  </si>
  <si>
    <t>3</t>
  </si>
  <si>
    <t>5</t>
  </si>
  <si>
    <t>7</t>
  </si>
  <si>
    <t>8</t>
  </si>
  <si>
    <t>9</t>
  </si>
  <si>
    <t>10</t>
  </si>
  <si>
    <t>11-1</t>
  </si>
  <si>
    <t>11-2</t>
  </si>
  <si>
    <t>11-3</t>
  </si>
  <si>
    <t>14-1</t>
  </si>
  <si>
    <t>14-2</t>
  </si>
  <si>
    <t>14-3</t>
  </si>
  <si>
    <t>15-1</t>
  </si>
  <si>
    <t>15-2</t>
  </si>
  <si>
    <t>15-3</t>
  </si>
  <si>
    <t>16-1</t>
  </si>
  <si>
    <t>16-2</t>
  </si>
  <si>
    <t>16-3</t>
  </si>
  <si>
    <t>18-1</t>
  </si>
  <si>
    <t>18-2</t>
  </si>
  <si>
    <t>18-3</t>
  </si>
  <si>
    <t>23</t>
  </si>
  <si>
    <t>24</t>
  </si>
  <si>
    <t>35</t>
  </si>
  <si>
    <t>40-1</t>
  </si>
  <si>
    <t>40-2</t>
  </si>
  <si>
    <t>40-3</t>
  </si>
  <si>
    <t>41-1</t>
  </si>
  <si>
    <t>41-2</t>
  </si>
  <si>
    <t>41-3</t>
  </si>
  <si>
    <r>
      <t xml:space="preserve">المحتويات                                                      </t>
    </r>
    <r>
      <rPr>
        <b/>
        <sz val="12"/>
        <rFont val="Arial"/>
        <family val="2"/>
      </rPr>
      <t>Contents</t>
    </r>
  </si>
  <si>
    <t>1- First class  relationship
2-Second class relationship
3-No relationship</t>
  </si>
  <si>
    <t>1-Never married 
 2-Divorced
3-Widowed</t>
  </si>
  <si>
    <t>1-Never married 
2-Married
3-Divorced
4-Widowed</t>
  </si>
  <si>
    <t>1-Not proceded by another 
2- Proceded by another</t>
  </si>
  <si>
    <t xml:space="preserve">  Relation  </t>
  </si>
  <si>
    <t>Place of Residence</t>
  </si>
  <si>
    <t xml:space="preserve">Occupation </t>
  </si>
  <si>
    <t>Educational Status</t>
  </si>
  <si>
    <t>No.of Sons</t>
  </si>
  <si>
    <t>Marital statue</t>
  </si>
  <si>
    <t xml:space="preserve">  Nationality </t>
  </si>
  <si>
    <t xml:space="preserve"> Age</t>
  </si>
  <si>
    <t>Date of Birth</t>
  </si>
  <si>
    <t>Wife ID/Passport No.</t>
  </si>
  <si>
    <t>Number of Wives</t>
  </si>
  <si>
    <t>No.of sons</t>
  </si>
  <si>
    <t>Husband ID/Passport No.</t>
  </si>
  <si>
    <t>Wife Data</t>
  </si>
  <si>
    <t>Husband Data</t>
  </si>
  <si>
    <t>Type of Contract</t>
  </si>
  <si>
    <t>Contract Number</t>
  </si>
  <si>
    <t>Marriage Contract Date</t>
  </si>
  <si>
    <t xml:space="preserve"> Data source: Supreme Judicial  Council</t>
  </si>
  <si>
    <t>1- لم يسبق لها الزواج
2- مطلقة
3- أرملة</t>
  </si>
  <si>
    <t>1- لم يسق له الزواج
2- متزوج
3- مطلق
4- أرمل</t>
  </si>
  <si>
    <t>1- لم يسبقه آخر
2- سبقه آخر</t>
  </si>
  <si>
    <t>سنة</t>
  </si>
  <si>
    <t>شهر</t>
  </si>
  <si>
    <t>صلة القرابة</t>
  </si>
  <si>
    <t xml:space="preserve">مكان الإقامة  </t>
  </si>
  <si>
    <t xml:space="preserve">المهنة  </t>
  </si>
  <si>
    <t>الحالة التعليمية</t>
  </si>
  <si>
    <t xml:space="preserve">عدد الأبناء   </t>
  </si>
  <si>
    <t>الحالة الزواجية</t>
  </si>
  <si>
    <t xml:space="preserve">الجنسية  </t>
  </si>
  <si>
    <t>العمر</t>
  </si>
  <si>
    <t>تاريخ الميلاد</t>
  </si>
  <si>
    <t>رقم بطاقة/ جواز الزوجة</t>
  </si>
  <si>
    <t xml:space="preserve">عدد االزوجات بالعصمة </t>
  </si>
  <si>
    <t xml:space="preserve">عدد الأبناء  </t>
  </si>
  <si>
    <t>رقم بطاقة/ جواز الزوج</t>
  </si>
  <si>
    <t>بيانات الزوجة</t>
  </si>
  <si>
    <t>بيانات الزوج</t>
  </si>
  <si>
    <t>نوع العقد</t>
  </si>
  <si>
    <t>رقم العقد</t>
  </si>
  <si>
    <t>تاريخ العقد</t>
  </si>
  <si>
    <t xml:space="preserve">مصدر البيانات :  المجلس الأعلى للقضاء </t>
  </si>
  <si>
    <t>1- رجعي
2- خلع
3- بينونة صغرى
4- بينونة كبرى</t>
  </si>
  <si>
    <t>عدد الأبناء من الأزواج السابقين</t>
  </si>
  <si>
    <t>عدد الأبناء من الزوج الحالي</t>
  </si>
  <si>
    <t xml:space="preserve">مدة الحياة الزوجية </t>
  </si>
  <si>
    <t xml:space="preserve">المهنة </t>
  </si>
  <si>
    <t>عدد الزوجات الباقيات بالعصمة</t>
  </si>
  <si>
    <t>نوع الطلاق</t>
  </si>
  <si>
    <t>طالب الطلاق</t>
  </si>
  <si>
    <t>رقم الاشهاد</t>
  </si>
  <si>
    <t>تاريخ الطلاق</t>
  </si>
  <si>
    <t>1-Rajee
2-Khulla
3-Baan Smaller
4-Baan Greater</t>
  </si>
  <si>
    <t>No. of Kids from Previous husbands</t>
  </si>
  <si>
    <t xml:space="preserve">Duration of Marriage   </t>
  </si>
  <si>
    <t>Wife ID/ Passport No.</t>
  </si>
  <si>
    <t>No. of Wives</t>
  </si>
  <si>
    <t>Divorcee (Man) ID/ Passport No.</t>
  </si>
  <si>
    <t>Type of Divorce</t>
  </si>
  <si>
    <t>Divorce Requester</t>
  </si>
  <si>
    <t>Divorce Date</t>
  </si>
  <si>
    <t>Bulletin Year</t>
  </si>
  <si>
    <t>OUTSIDE QATAR</t>
  </si>
  <si>
    <t>Other G.C.C Countries</t>
  </si>
  <si>
    <t>Other Arab Countries</t>
  </si>
  <si>
    <t>Asian Countries</t>
  </si>
  <si>
    <t>European  Countries</t>
  </si>
  <si>
    <t>Other Countries</t>
  </si>
  <si>
    <t>-20</t>
  </si>
  <si>
    <t>SERVICE WORKERS AND SHOP AND MARKET SALES WORKERS</t>
  </si>
  <si>
    <t>20-</t>
  </si>
  <si>
    <t>-1</t>
  </si>
  <si>
    <t>1</t>
  </si>
  <si>
    <t>2</t>
  </si>
  <si>
    <t>25+</t>
  </si>
  <si>
    <t>الدوحة</t>
  </si>
  <si>
    <t>الريان</t>
  </si>
  <si>
    <t>الوكرة</t>
  </si>
  <si>
    <t>ام صلال</t>
  </si>
  <si>
    <t>الخور</t>
  </si>
  <si>
    <t>الشمال</t>
  </si>
  <si>
    <t>خارج قطر</t>
  </si>
  <si>
    <t>دول  اخرى</t>
  </si>
  <si>
    <r>
      <t>اشهادات الطلاق غير قطريين</t>
    </r>
    <r>
      <rPr>
        <b/>
        <sz val="8"/>
        <rFont val="Arial"/>
        <family val="2"/>
      </rPr>
      <t xml:space="preserve">
Divorces Non-Qatari </t>
    </r>
  </si>
  <si>
    <r>
      <t>اشهادات الطلاق قطريون</t>
    </r>
    <r>
      <rPr>
        <b/>
        <sz val="8"/>
        <rFont val="Arial"/>
        <family val="2"/>
      </rPr>
      <t xml:space="preserve"> 
Divorces Qatari</t>
    </r>
  </si>
  <si>
    <r>
      <t>عقود الزواج غير قطريين</t>
    </r>
    <r>
      <rPr>
        <b/>
        <sz val="8"/>
        <rFont val="Arial"/>
        <family val="2"/>
      </rPr>
      <t xml:space="preserve">
Non-Qatari Marriages</t>
    </r>
  </si>
  <si>
    <r>
      <t>عقود الزواج قطريون</t>
    </r>
    <r>
      <rPr>
        <b/>
        <sz val="8"/>
        <rFont val="Arial"/>
        <family val="2"/>
      </rPr>
      <t xml:space="preserve"> 
Marriages Qatari</t>
    </r>
  </si>
  <si>
    <r>
      <t>قطريون</t>
    </r>
    <r>
      <rPr>
        <b/>
        <sz val="8"/>
        <rFont val="Arial"/>
        <family val="2"/>
      </rPr>
      <t xml:space="preserve"> 
Qatari</t>
    </r>
  </si>
  <si>
    <r>
      <t>غير قطريين</t>
    </r>
    <r>
      <rPr>
        <b/>
        <sz val="8"/>
        <rFont val="Arial"/>
        <family val="2"/>
      </rPr>
      <t xml:space="preserve">
Non-Qatari</t>
    </r>
  </si>
  <si>
    <r>
      <t>المجموع</t>
    </r>
    <r>
      <rPr>
        <b/>
        <sz val="8"/>
        <rFont val="Arial"/>
        <family val="2"/>
      </rPr>
      <t xml:space="preserve">
Total</t>
    </r>
  </si>
  <si>
    <r>
      <t>قطريات</t>
    </r>
    <r>
      <rPr>
        <b/>
        <sz val="8"/>
        <rFont val="Arial"/>
        <family val="2"/>
      </rPr>
      <t xml:space="preserve"> 
Qatari</t>
    </r>
  </si>
  <si>
    <r>
      <t>غير قطريات</t>
    </r>
    <r>
      <rPr>
        <b/>
        <sz val="8"/>
        <rFont val="Arial"/>
        <family val="2"/>
      </rPr>
      <t xml:space="preserve">
Non-Qatari</t>
    </r>
  </si>
  <si>
    <r>
      <rPr>
        <b/>
        <sz val="12"/>
        <rFont val="Arial"/>
        <family val="2"/>
      </rPr>
      <t>فئة عمر الزوجة  بالسنوات</t>
    </r>
    <r>
      <rPr>
        <b/>
        <sz val="10"/>
        <rFont val="Arial"/>
        <family val="2"/>
      </rPr>
      <t xml:space="preserve">   Age Group of Wife in years </t>
    </r>
  </si>
  <si>
    <r>
      <t xml:space="preserve">جنسية الزوج
</t>
    </r>
    <r>
      <rPr>
        <sz val="11"/>
        <rFont val="Arial"/>
        <family val="2"/>
      </rPr>
      <t>Nationality of Husband</t>
    </r>
  </si>
  <si>
    <r>
      <t xml:space="preserve">جنسية الزوجة
</t>
    </r>
    <r>
      <rPr>
        <sz val="11"/>
        <rFont val="Arial"/>
        <family val="2"/>
      </rPr>
      <t>Nationality of Wife</t>
    </r>
  </si>
  <si>
    <t>أخرى Other</t>
  </si>
  <si>
    <t>غير مبين 
Not Stated</t>
  </si>
  <si>
    <r>
      <t xml:space="preserve"> الزوج قطري والزوجة قطرية
</t>
    </r>
    <r>
      <rPr>
        <sz val="10"/>
        <rFont val="Arial"/>
        <family val="2"/>
      </rPr>
      <t>Qatari Husband &amp; Qatari Wife</t>
    </r>
  </si>
  <si>
    <r>
      <t xml:space="preserve"> الزوج قطري والزوجة غير قطرية
</t>
    </r>
    <r>
      <rPr>
        <sz val="10"/>
        <rFont val="Arial"/>
        <family val="2"/>
      </rPr>
      <t>Qatari Husband &amp; Non-Qatari Wife</t>
    </r>
  </si>
  <si>
    <r>
      <t xml:space="preserve"> الزوج غير قطري والزوجة قطرية
</t>
    </r>
    <r>
      <rPr>
        <sz val="10"/>
        <rFont val="Arial"/>
        <family val="2"/>
      </rPr>
      <t>Non-Qatari Husband &amp; Qatari Wife</t>
    </r>
  </si>
  <si>
    <r>
      <t xml:space="preserve"> الزوج غير قطري والزوجة غير قطرية
</t>
    </r>
    <r>
      <rPr>
        <sz val="10"/>
        <rFont val="Arial"/>
        <family val="2"/>
      </rPr>
      <t>Non-Qatari Husband &amp; Non-Qatari Wife</t>
    </r>
  </si>
  <si>
    <r>
      <t xml:space="preserve"> المجموع
</t>
    </r>
    <r>
      <rPr>
        <sz val="10"/>
        <rFont val="Arial"/>
        <family val="2"/>
      </rPr>
      <t>Total</t>
    </r>
  </si>
  <si>
    <t>Divorce Inditiator</t>
  </si>
  <si>
    <t>الزوج</t>
  </si>
  <si>
    <t>الزوجة</t>
  </si>
  <si>
    <t>Huband</t>
  </si>
  <si>
    <t>Wife</t>
  </si>
  <si>
    <t>إشهادات الطلاق حسب نوع الطلاق وطالب الطلاق وجنسية الزوج والزوجة</t>
  </si>
  <si>
    <t>نــوع الطـــلاق Divorce type</t>
  </si>
  <si>
    <t>General Total</t>
  </si>
  <si>
    <r>
      <t xml:space="preserve">النسبة المئوية
</t>
    </r>
    <r>
      <rPr>
        <sz val="8"/>
        <rFont val="Arial"/>
        <family val="2"/>
        <charset val="178"/>
      </rPr>
      <t xml:space="preserve">Percentage </t>
    </r>
  </si>
  <si>
    <r>
      <rPr>
        <b/>
        <sz val="12"/>
        <rFont val="Arial"/>
        <family val="2"/>
      </rPr>
      <t xml:space="preserve">طالب الطلاق </t>
    </r>
    <r>
      <rPr>
        <b/>
        <sz val="10"/>
        <rFont val="Arial"/>
        <family val="2"/>
      </rPr>
      <t>Divrorce Initiator</t>
    </r>
  </si>
  <si>
    <r>
      <rPr>
        <b/>
        <sz val="10"/>
        <rFont val="Arial"/>
        <family val="2"/>
      </rPr>
      <t>الزوج</t>
    </r>
    <r>
      <rPr>
        <b/>
        <sz val="12"/>
        <rFont val="Arial"/>
        <family val="2"/>
      </rPr>
      <t xml:space="preserve">
</t>
    </r>
    <r>
      <rPr>
        <sz val="10"/>
        <rFont val="Arial"/>
        <family val="2"/>
      </rPr>
      <t>Husband</t>
    </r>
  </si>
  <si>
    <r>
      <rPr>
        <b/>
        <sz val="10"/>
        <rFont val="Arial"/>
        <family val="2"/>
      </rPr>
      <t>الزوجة</t>
    </r>
    <r>
      <rPr>
        <b/>
        <sz val="12"/>
        <rFont val="Arial"/>
        <family val="2"/>
      </rPr>
      <t xml:space="preserve">
</t>
    </r>
    <r>
      <rPr>
        <sz val="10"/>
        <rFont val="Arial"/>
        <family val="2"/>
      </rPr>
      <t>Wife</t>
    </r>
  </si>
  <si>
    <r>
      <rPr>
        <b/>
        <sz val="10"/>
        <rFont val="Arial"/>
        <family val="2"/>
      </rPr>
      <t>غير مبين</t>
    </r>
    <r>
      <rPr>
        <b/>
        <sz val="12"/>
        <rFont val="Arial"/>
        <family val="2"/>
      </rPr>
      <t xml:space="preserve">
</t>
    </r>
    <r>
      <rPr>
        <sz val="10"/>
        <rFont val="Arial"/>
        <family val="2"/>
      </rPr>
      <t>Not Stated</t>
    </r>
  </si>
  <si>
    <t>إشهادات الطلاق حسب جنسية الزوج والزوجة وعدد طالبي الطلاق ومدة الحياة الزواجية للزوج</t>
  </si>
  <si>
    <t>المجموع
Total</t>
  </si>
  <si>
    <t>No. of children</t>
  </si>
  <si>
    <t>عدد الأبناء للمطلقة من الزوج الحالي حسب جنسية الزوجة</t>
  </si>
  <si>
    <t>عدد الأبناء للمطلقة من الأزواج السابقين حسب جنسية الزوجة</t>
  </si>
  <si>
    <t>جدول رقم (27)</t>
  </si>
  <si>
    <t>Table No. (27)</t>
  </si>
  <si>
    <t>جدول رقم (32-1)</t>
  </si>
  <si>
    <t>Table No (32-1)</t>
  </si>
  <si>
    <t>جدول رقم (32-3)</t>
  </si>
  <si>
    <t>Table No (32-3)</t>
  </si>
  <si>
    <t>جدول رقم (32-2)</t>
  </si>
  <si>
    <t>Table No (32-2)</t>
  </si>
  <si>
    <t>جدول رقم (33-3)</t>
  </si>
  <si>
    <t>جدول رقم (33-2)</t>
  </si>
  <si>
    <t>جدول رقم (33-1)</t>
  </si>
  <si>
    <t>جدول رقم (36)</t>
  </si>
  <si>
    <t>Table No. (36)</t>
  </si>
  <si>
    <t>جدول رقم (42-1)</t>
  </si>
  <si>
    <t>Table No. (42-1)</t>
  </si>
  <si>
    <t>جدول رقم (42-3)</t>
  </si>
  <si>
    <t>Table No. (42-3)</t>
  </si>
  <si>
    <t>جدول رقم (42-2)</t>
  </si>
  <si>
    <t>Table No. (42-2)</t>
  </si>
  <si>
    <t>جدول رقم (43-1)</t>
  </si>
  <si>
    <t>Table No. (43-1)</t>
  </si>
  <si>
    <t>جدول رقم (43-3)</t>
  </si>
  <si>
    <t>Table No. (43-3)</t>
  </si>
  <si>
    <t>جدول رقم (43-2)</t>
  </si>
  <si>
    <t>Table No. (43-2)</t>
  </si>
  <si>
    <t>جدول رقم (45)</t>
  </si>
  <si>
    <t>Table No. (45)</t>
  </si>
  <si>
    <t>جدول رقم (46)</t>
  </si>
  <si>
    <t>Table No. (46)</t>
  </si>
  <si>
    <t>جدول رقم (47)</t>
  </si>
  <si>
    <t>Table No. (47)</t>
  </si>
  <si>
    <t>27</t>
  </si>
  <si>
    <t>32-1</t>
  </si>
  <si>
    <t>32-2</t>
  </si>
  <si>
    <t>32-3</t>
  </si>
  <si>
    <t>33-1</t>
  </si>
  <si>
    <t>33-2</t>
  </si>
  <si>
    <t>33-3</t>
  </si>
  <si>
    <t>36</t>
  </si>
  <si>
    <t>37</t>
  </si>
  <si>
    <t>42-1</t>
  </si>
  <si>
    <t>42-2</t>
  </si>
  <si>
    <t>42-3</t>
  </si>
  <si>
    <t>43-1</t>
  </si>
  <si>
    <t>45</t>
  </si>
  <si>
    <t>46</t>
  </si>
  <si>
    <t>47</t>
  </si>
  <si>
    <t>جدول رقم (31-1)</t>
  </si>
  <si>
    <t>Table No (31-1)</t>
  </si>
  <si>
    <t>جدول رقم (31-3)</t>
  </si>
  <si>
    <t>Table No (31-3)</t>
  </si>
  <si>
    <t>جدول رقم (31-2)</t>
  </si>
  <si>
    <t>Table No (31-2)</t>
  </si>
  <si>
    <t>31-1</t>
  </si>
  <si>
    <t>31-2</t>
  </si>
  <si>
    <t>31-3</t>
  </si>
  <si>
    <t>قطريون 
Qatari</t>
  </si>
  <si>
    <t>غير قطريين
Non-Qatari</t>
  </si>
  <si>
    <t>قطريات
Qatari</t>
  </si>
  <si>
    <t>غير قطريات
Non-Qatari</t>
  </si>
  <si>
    <r>
      <t>جنسية الزوجة</t>
    </r>
    <r>
      <rPr>
        <sz val="11"/>
        <rFont val="Arial"/>
        <family val="2"/>
      </rPr>
      <t xml:space="preserve">
Nationality of Wife</t>
    </r>
  </si>
  <si>
    <r>
      <t>جنسية الزوج</t>
    </r>
    <r>
      <rPr>
        <sz val="11"/>
        <rFont val="Arial"/>
        <family val="2"/>
      </rPr>
      <t xml:space="preserve">
Nationality of Husband</t>
    </r>
  </si>
  <si>
    <t>جدول رقم (28-1)</t>
  </si>
  <si>
    <t>Table No (28-1)</t>
  </si>
  <si>
    <t>جدول رقم (28-3)</t>
  </si>
  <si>
    <t>Table No (28-3)</t>
  </si>
  <si>
    <t>جدول رقم (28-2)</t>
  </si>
  <si>
    <t>Table No (28-2)</t>
  </si>
  <si>
    <t>جدول رقم (29)</t>
  </si>
  <si>
    <t>Table No. (29)</t>
  </si>
  <si>
    <t>جدول رقم (30-1)</t>
  </si>
  <si>
    <t>Table No (30-1)</t>
  </si>
  <si>
    <t>جدول رقم (30-3)</t>
  </si>
  <si>
    <t>Table No (30-3)</t>
  </si>
  <si>
    <t>جدول رقم (30-2)</t>
  </si>
  <si>
    <t>Table No (30-2)</t>
  </si>
  <si>
    <t>Table No. (33-1)</t>
  </si>
  <si>
    <t>Table No. (33-3)</t>
  </si>
  <si>
    <t>Table No. (33-2)</t>
  </si>
  <si>
    <t>جدول رقم (34)</t>
  </si>
  <si>
    <t>Table No. (34)</t>
  </si>
  <si>
    <t>جدول رقم (38-1)</t>
  </si>
  <si>
    <t>Table No. (38-1)</t>
  </si>
  <si>
    <t>جدول رقم (38-3)</t>
  </si>
  <si>
    <t>Table No. (38-3)</t>
  </si>
  <si>
    <t>جدول رقم (38-2)</t>
  </si>
  <si>
    <t>Table No. (38-2)</t>
  </si>
  <si>
    <t>جدول رقم (44)</t>
  </si>
  <si>
    <t>Table No. (44)</t>
  </si>
  <si>
    <t>28-1</t>
  </si>
  <si>
    <t>28-2</t>
  </si>
  <si>
    <t>28-3</t>
  </si>
  <si>
    <t>29</t>
  </si>
  <si>
    <t>30-1</t>
  </si>
  <si>
    <t>30-2</t>
  </si>
  <si>
    <t>30-3</t>
  </si>
  <si>
    <t>34</t>
  </si>
  <si>
    <t>38-1</t>
  </si>
  <si>
    <t>38-2</t>
  </si>
  <si>
    <t>38-3</t>
  </si>
  <si>
    <t>43-2</t>
  </si>
  <si>
    <t>43-3</t>
  </si>
  <si>
    <t>44</t>
  </si>
  <si>
    <t>جدول رقم (37)</t>
  </si>
  <si>
    <t>Table No. (37)</t>
  </si>
  <si>
    <t>عدد الأبناء للزوج الحالي فقط</t>
  </si>
  <si>
    <t>إشهادات الطلاق حسب عدد الزوجات الباقيات بالعصمة وجنسية الزوج وفئة عمره</t>
  </si>
  <si>
    <t>DIVORCES BY NUMBER OF WIVES AND NATIONALITY OF HUSBAND AND HIS AGE GROUP</t>
  </si>
  <si>
    <t>0- أمي
1- يقرأ ويكتب
2- إبتدائية
3- إعدادية
4- ثانوية
5- دبلوم أقل من الجامعة
6- بكالوريوس
7- دبلوم عالي
8- ماجسيتر
9- دكتوراة</t>
  </si>
  <si>
    <t>0-IIIiterate
1- Read &amp; Write
2-Primary
3-Preparatory
4-Secondary
5-Pre.U. Diploma
6-University
7- Higher Diploma
8- M.A / M.Sc.
9- Ph.D.</t>
  </si>
  <si>
    <t>بيانات عقود الزواج
Marriage Contracts Data</t>
  </si>
  <si>
    <t>بيانات إشهادات الطلاق
Divorce Certificates Data</t>
  </si>
  <si>
    <t>1- درجة أولى
2- درجة ثانية
3- لا قرابة</t>
  </si>
  <si>
    <t>No. of Kids from Current husband</t>
  </si>
  <si>
    <t>قرابة من الدرجــــة الأولى ويعني زواج أبناء العم /العمة - الخال/ الخالة .</t>
  </si>
  <si>
    <t>قرابة من الدرجة الثانية وتعني زواج من اقارب آخرون غير ما ذكر في (1) مثل أبناء القبيلة .</t>
  </si>
  <si>
    <t>لا قرابة وتعني عدم وجود صله قرابه بين الزوج والزوجة .</t>
  </si>
  <si>
    <t>بينونة صغرى وهــو أن يتم الطلاق الأول أو الثاني بعد إنتهاء العدة بالزوجة المدخول بها أو قبل الدخول بالزوجة .</t>
  </si>
  <si>
    <t>طلاق رجعي وهو الطلاق الذى يقع على الزوجة المدخول بها وغير مكمل للثلاث.</t>
  </si>
  <si>
    <t>الخلع وهو حلّ عقد الزواج بتراضي الزوجين بلفظ الخلع، أو ما في معناه على بدل تبذله الزوجة، ولا يشترط أن يكون في حالة طهر المرأة، ويكون فسخاً.</t>
  </si>
  <si>
    <t>بينونة كبرى وهو الطلاق المكمل للثلاث أى المسبوق بطلاقين ولا يحق للمطلق إعادة مطلقته إلا بعد زواجها من شخص آخر زواجاً شرعياً صحيحاً ثم الطلاق منه .</t>
  </si>
  <si>
    <t>M : هو إجمالي عدد الزيجات في منطقة معينة خلال سنة معينة.</t>
  </si>
  <si>
    <r>
      <rPr>
        <b/>
        <sz val="10"/>
        <rFont val="Arial"/>
        <family val="2"/>
      </rPr>
      <t>M:</t>
    </r>
    <r>
      <rPr>
        <sz val="10"/>
        <rFont val="Arial"/>
        <family val="2"/>
      </rPr>
      <t xml:space="preserve"> Total number of marriages in a certain area in specific year</t>
    </r>
  </si>
  <si>
    <t xml:space="preserve">P : عدد السكان في منتصف العام </t>
  </si>
  <si>
    <r>
      <rPr>
        <b/>
        <sz val="10"/>
        <rFont val="Arial"/>
        <family val="2"/>
      </rPr>
      <t xml:space="preserve">P : </t>
    </r>
    <r>
      <rPr>
        <sz val="10"/>
        <rFont val="Arial"/>
        <family val="2"/>
      </rPr>
      <t>Population at mid-year</t>
    </r>
  </si>
  <si>
    <r>
      <t xml:space="preserve">P </t>
    </r>
    <r>
      <rPr>
        <sz val="8"/>
        <rFont val="Arial"/>
        <family val="2"/>
      </rPr>
      <t>15t</t>
    </r>
  </si>
  <si>
    <t>د. صالح بن محمد النابت</t>
  </si>
  <si>
    <t>وزير التخطيط التنموي والإحصاء</t>
  </si>
  <si>
    <t>Minster of Development Planning &amp; Statistics</t>
  </si>
  <si>
    <t xml:space="preserve">Number of children of the current husband </t>
  </si>
  <si>
    <t xml:space="preserve">DIVORCES BY NUMBER OF CHILDREN AND AGE GROUP OF WIFE </t>
  </si>
  <si>
    <t xml:space="preserve"> NUMBER OF CHILDREN OF DIVORCEE BY AGE GROUP OF HUSBAND AND WIFE </t>
  </si>
  <si>
    <r>
      <t xml:space="preserve"> Graph No. (23) </t>
    </r>
    <r>
      <rPr>
        <b/>
        <sz val="12"/>
        <rFont val="Arial"/>
        <family val="2"/>
      </rPr>
      <t>شكل رقم</t>
    </r>
  </si>
  <si>
    <t>عدد الأبناء
No. of children</t>
  </si>
  <si>
    <t>عدد الأبناء
No. of Children</t>
  </si>
  <si>
    <t>عدد الأبنــاء No. of Children</t>
  </si>
  <si>
    <t>عدد الأبنــاء No. of children</t>
  </si>
  <si>
    <t>الزوج قطري والزوجة قطرية
Qatari Husband &amp; Qatari Wife</t>
  </si>
  <si>
    <t>الزوج قطري والزوجة غير قطرية
Qatari Husband &amp; Non-Qatari Wife</t>
  </si>
  <si>
    <t>الزوج غير قطري والزوجة قطرية
Non-Qatari Husband &amp; Qatari Wife</t>
  </si>
  <si>
    <t>الزوج غير قطري والزوجة غير قطرية
Non-Qatari Husband &amp; Non-Qatari Wife</t>
  </si>
  <si>
    <t>3 - Non-registered</t>
  </si>
  <si>
    <t xml:space="preserve"> فاقدو القيد هم المتزوجون والمطلقون   الذين تم قيدهم في سجلات المجلس الاعلى للقضاء  في تاريخ لاحق وبعد صدور النشرة السنوية للزواج والطلاق  لنفس العام.</t>
  </si>
  <si>
    <t xml:space="preserve">Non-registered are the married and divorced people who were recorded in the registers of the Judiciary Supreme Council after the publication of the Annual Bulletin of Marriage and Divorce for the same year. </t>
  </si>
  <si>
    <r>
      <t>3 -</t>
    </r>
    <r>
      <rPr>
        <b/>
        <sz val="14"/>
        <rFont val="Arabic Transparent"/>
        <charset val="178"/>
      </rPr>
      <t xml:space="preserve"> فاقدو القيد</t>
    </r>
  </si>
  <si>
    <r>
      <t>4 -</t>
    </r>
    <r>
      <rPr>
        <b/>
        <sz val="14"/>
        <rFont val="Arabic Transparent"/>
        <charset val="178"/>
      </rPr>
      <t xml:space="preserve"> البلدية</t>
    </r>
  </si>
  <si>
    <t>4 - Municipality</t>
  </si>
  <si>
    <t>- 20</t>
  </si>
  <si>
    <r>
      <t>بينونة صغرى</t>
    </r>
    <r>
      <rPr>
        <sz val="10"/>
        <rFont val="Arial"/>
        <family val="2"/>
        <charset val="178"/>
      </rPr>
      <t xml:space="preserve">
Minor irrevocable divorce </t>
    </r>
  </si>
  <si>
    <r>
      <t xml:space="preserve">رجعي
</t>
    </r>
    <r>
      <rPr>
        <sz val="10"/>
        <rFont val="Arial"/>
        <family val="2"/>
        <charset val="178"/>
      </rPr>
      <t xml:space="preserve">Revocable divorce </t>
    </r>
  </si>
  <si>
    <r>
      <t xml:space="preserve">خلع
</t>
    </r>
    <r>
      <rPr>
        <sz val="10"/>
        <rFont val="Arial"/>
        <family val="2"/>
        <charset val="178"/>
      </rPr>
      <t>Divorce against compensation</t>
    </r>
  </si>
  <si>
    <r>
      <t>بينونة كبرى</t>
    </r>
    <r>
      <rPr>
        <sz val="10"/>
        <rFont val="Arial"/>
        <family val="2"/>
        <charset val="178"/>
      </rPr>
      <t xml:space="preserve">
Major  irrevocable divorce </t>
    </r>
  </si>
  <si>
    <t>بينونة صغرى
Minor irrevocable divorce</t>
  </si>
  <si>
    <t xml:space="preserve">رجعي
Revocable divorce </t>
  </si>
  <si>
    <t>خلع
Divorce against compensation</t>
  </si>
  <si>
    <t>بينونة كبرى
Major  irrevocable divorce</t>
  </si>
  <si>
    <t xml:space="preserve">      تعتبر الإحصاءات الحيوية أحد الأركان الأساسية للإحصاءات السكانية التي يمكن الحصول عليها من أنظمة السجلات الحيوية أو من المسوحات والتعدادات السكانية .</t>
  </si>
  <si>
    <t xml:space="preserve">         البيانات الواردة في هذه النشرة هي حصيلة التعاون بين وزارة التخطيط التنموي والإحصاء وبين المجلس الأعلى للقضاء وفقاً للمتغيرات المتفق عليها والمنشورة في الملاحق. 
       وقد تم تنفيذ الربط الالكتروني لقواعد البيانات بين وزارة التخطيط التنموي والإحصاء وبين المجلس الأعلى للقضاء بهدف تعزيز الشراكة بينهما وتحقيق نقلة نوعية في مجال تبادل البيانات وهذه الخطوة ستعمل على تماثل البيانات بين الجهتين والسرعة في الإنجاز.</t>
  </si>
  <si>
    <t>The data presented in this bulletin is a result of cooperation between the Ministry of Development Planning and Statistics  and Supreme Judiciary Council as per the agreed variables displayed in the annexes. 
The Ministry of Development Planning and Statistics  and  Supreme Judiciary Council launched the electronic linkup of their databases to strengthen partnership and achieve a quantum leap in data exchange. This step will lead to timely coordination and accuracy of data produced by both parties.</t>
  </si>
  <si>
    <t xml:space="preserve">     Through vital statistics (births, deaths, marriages and divorces) indicators on population growth rate and trend can be derived, as well as demographic behaviour of the society. These indicators can be used as indicatives for achieving short-term and long-term objectives as well as improving social and economic situations of the society.</t>
  </si>
  <si>
    <t xml:space="preserve">     وبالنسبة للشمول فإن هذه البيانات تغطي أحداث الزواج والطلاق للمسلمين التي تمت وسجلت في دولة قطر. </t>
  </si>
  <si>
    <t>الظعاين</t>
  </si>
  <si>
    <t xml:space="preserve">     من خلال الإحصاءات الحيوية (مواليد ووفيات - زواج و طلاق) يمكن التوصل إلى مؤشرات عن  اتجاه النمو السكاني ومعدله كما يمكن التعرف على السلوك الديموغرافي للمجتمع بشكل عام . وتستخدم المؤشرات التي توفرها الإحصاءات الحيوية كمعالم لبلوغ الأهداف القريبة والبعيدة المدى ولتحسين الأوضاع الاجتماعية والاقتصادية لأفراد المجتمع كافة.</t>
  </si>
  <si>
    <t>The data cover cases of  Muslims' marriages and divorces that took place  and registered in the State of Qatar.</t>
  </si>
  <si>
    <t>GENERAL MARRIAGE RATE BY NATIOANLITY &amp; GENDER PER 1000 POPULATION
(15 YEAR AND ABOVE)</t>
  </si>
  <si>
    <t>MARRIAGES BY NUMBER OF WIFE'S CHILDREN &amp; NATIONALITY OF HUSBAND &amp; WIFE</t>
  </si>
  <si>
    <t>GENERAL DIVORCES RATE BY NATIOANLITY &amp; SEX PER 1000 POPULATION
(15 YEAR AND ABOVE)</t>
  </si>
  <si>
    <r>
      <rPr>
        <b/>
        <sz val="10"/>
        <rFont val="Arial"/>
        <family val="2"/>
      </rPr>
      <t xml:space="preserve"> Duration of Marriages In Years (1)</t>
    </r>
    <r>
      <rPr>
        <b/>
        <sz val="11"/>
        <rFont val="Arial"/>
        <family val="2"/>
      </rPr>
      <t xml:space="preserve"> مدة الحياة الزواجية بالسنوات </t>
    </r>
  </si>
  <si>
    <r>
      <t xml:space="preserve"> Duration of Marriages In Years (1)</t>
    </r>
    <r>
      <rPr>
        <b/>
        <sz val="11"/>
        <rFont val="Arial"/>
        <family val="2"/>
      </rPr>
      <t xml:space="preserve"> مدة الحياة الزواجية بالسنوات </t>
    </r>
  </si>
  <si>
    <r>
      <t xml:space="preserve">فئة عمر الزوج  بالسنوات   </t>
    </r>
    <r>
      <rPr>
        <b/>
        <sz val="10"/>
        <rFont val="Arial"/>
        <family val="2"/>
      </rPr>
      <t xml:space="preserve">Age Group of Husband in years </t>
    </r>
  </si>
  <si>
    <t>DIVORCES BY NUMBER OF WIFE'S CHILDREN &amp; NATIONALITY OF HUSBAND &amp; WIFE</t>
  </si>
  <si>
    <r>
      <t xml:space="preserve">لم يسبق لها الزواج
</t>
    </r>
    <r>
      <rPr>
        <sz val="10"/>
        <rFont val="Arial"/>
        <family val="2"/>
      </rPr>
      <t>Never-Married</t>
    </r>
  </si>
  <si>
    <r>
      <t xml:space="preserve">دبلوم فوق الثانوي
</t>
    </r>
    <r>
      <rPr>
        <sz val="10"/>
        <rFont val="Arial"/>
        <family val="2"/>
      </rPr>
      <t>Post Secondary</t>
    </r>
  </si>
  <si>
    <t>دبلوم فوق الثانوي
Post Secondary</t>
  </si>
  <si>
    <t>0</t>
  </si>
  <si>
    <t>+6</t>
  </si>
  <si>
    <t>6+</t>
  </si>
  <si>
    <r>
      <t xml:space="preserve">لم يسبق له الزواج
</t>
    </r>
    <r>
      <rPr>
        <sz val="10"/>
        <rFont val="Arial"/>
        <family val="2"/>
      </rPr>
      <t>Never-Married</t>
    </r>
  </si>
  <si>
    <r>
      <t xml:space="preserve">متزوج
</t>
    </r>
    <r>
      <rPr>
        <sz val="10"/>
        <rFont val="Arial"/>
        <family val="2"/>
      </rPr>
      <t>Married</t>
    </r>
  </si>
  <si>
    <r>
      <t xml:space="preserve">مطلق
</t>
    </r>
    <r>
      <rPr>
        <sz val="10"/>
        <rFont val="Arial"/>
        <family val="2"/>
      </rPr>
      <t>Divorced</t>
    </r>
  </si>
  <si>
    <r>
      <t xml:space="preserve">أرمل
</t>
    </r>
    <r>
      <rPr>
        <sz val="10"/>
        <rFont val="Arial"/>
        <family val="2"/>
      </rPr>
      <t>Widowed</t>
    </r>
  </si>
  <si>
    <t>دبلوم فوق الثانوي</t>
  </si>
  <si>
    <t>Post Secondary</t>
  </si>
  <si>
    <t>DIVORCES  BY NATIONALITY OF HUSBAND, WIFE &amp; NUMBER OF WIFE'S CHILDREN  AND DURATION
 OF MARRIAGE FOR HUSBAND</t>
  </si>
  <si>
    <t>DIVORCES  BY HUSBAND AND WIFE, NATIONALITY, DIVORCE INITIATORS NUMBER  AND 
DURATION OF MARRIAGE FOR HUSBAND</t>
  </si>
  <si>
    <t>(5) حالة طلاق غير مبين عدد أبنائهم من الزوج الحالي فقط</t>
  </si>
  <si>
    <t>Numbe of children of (5) Divorce cases Not stated</t>
  </si>
  <si>
    <t xml:space="preserve"> </t>
  </si>
  <si>
    <t>2 - كشف إشهادات الطلاق</t>
  </si>
  <si>
    <t xml:space="preserve">عقود الزواج وإشهادات الطلاق المسجلة حسب جنسية الزوج </t>
  </si>
  <si>
    <t>عقود الزواج وإشهادات الطلاق لفاقدي القيد حسب الجنسية</t>
  </si>
  <si>
    <t>فاقدي القيد لعقود الزواج
Not Registered Marriages</t>
  </si>
  <si>
    <t>فاقدي القيد لإشهادات الطلاق
Not Registered Divorces</t>
  </si>
  <si>
    <t>REGISTERED MARRIAGES AND DIVORCES BY HUSBAND’S NATIONALITY</t>
  </si>
  <si>
    <r>
      <t xml:space="preserve">تقرأ وتكتب
</t>
    </r>
    <r>
      <rPr>
        <sz val="10"/>
        <rFont val="Arial"/>
        <family val="2"/>
      </rPr>
      <t>Read and Write</t>
    </r>
  </si>
  <si>
    <t>DIVORCES BY TYPE, INITIATOR AND NATIONALITIES OF HUSBAND AND WIFE</t>
  </si>
  <si>
    <t>MARRIAGES BY NUMBER OF HUSBAND'S CHILDREN &amp; NATIOANLTIY OF HUSBAND &amp; WIFE</t>
  </si>
  <si>
    <t>Indicators &amp; vital rates</t>
  </si>
  <si>
    <t>1. Marriages listing form</t>
  </si>
  <si>
    <t>2. Divorces listing form</t>
  </si>
  <si>
    <t>AVERAGE AGE AT FIRST MARRIAGE</t>
  </si>
  <si>
    <t>First section: Marriages</t>
  </si>
  <si>
    <t>معدلات الزواج والطلاق الخام لكل ألف من السكان</t>
  </si>
  <si>
    <t>Second section: Divorces</t>
  </si>
  <si>
    <t>DIVORCES BY OCCUPATION OF WIFE AND HUSBAND (QATARIS)</t>
  </si>
  <si>
    <t>DIVORCES BY OCCUPATION OF WIFE AND HUSBAND (NON-QATARIS)</t>
  </si>
  <si>
    <t>DIVORCES BY OCCUPATION OF WIFE AND HUSBAND (TOTAL)</t>
  </si>
  <si>
    <t>معدل الزواج العام حسب الجنسية والنوع لكل ألف من السكان  (15 سنة فأكثر)</t>
  </si>
  <si>
    <t>Dr. Saleh bin Mohamed Al-Nabit</t>
  </si>
  <si>
    <t>عدد الأبناء للمطلقة حسب فئة عمر الزوج
Number of children of divorcee by age group of husband</t>
  </si>
  <si>
    <t>عدد الأبناء للمطلقة حسب فئة عمر الزوجة
Number of children of divorcee by age group of wife</t>
  </si>
  <si>
    <t>Divorces by nationality of wife and husband  (2014)</t>
  </si>
  <si>
    <t>إشهادات الطلاق للقطريين حسب صلة القرابة وفئة عمر الزوج والزوجة (لا توجد صلة قرابة) (2014)</t>
  </si>
  <si>
    <t>عقود الزواج وإشهادات الطلاق لفاقدي القيد حسب الجنسية 
(2009 - 2013)</t>
  </si>
  <si>
    <t>Not registered marriages and divorces by  nationality (2009 - 2013)</t>
  </si>
  <si>
    <t>إشهادات الطلاق حسب مهنة الزوجة والزوج (2014)</t>
  </si>
  <si>
    <t>عقود الزواج حسب جنسية ومكان إقامة الزوج</t>
  </si>
  <si>
    <t>البلدية
مكان إقامة الزوج</t>
  </si>
  <si>
    <r>
      <t xml:space="preserve">Municipality
</t>
    </r>
    <r>
      <rPr>
        <sz val="10"/>
        <rFont val="Arial"/>
        <family val="2"/>
      </rPr>
      <t xml:space="preserve">Place of Husband  </t>
    </r>
  </si>
  <si>
    <t>عقود الزواج حسب جنسية ومكان إقامة الزوجة</t>
  </si>
  <si>
    <t>البلدية
مكان إقامة الزوجة</t>
  </si>
  <si>
    <r>
      <t xml:space="preserve">Municipality
</t>
    </r>
    <r>
      <rPr>
        <sz val="10"/>
        <rFont val="Arial"/>
        <family val="2"/>
      </rPr>
      <t xml:space="preserve">Place of Wife  </t>
    </r>
  </si>
  <si>
    <t xml:space="preserve">إشهادات الطلاق حسب جنسية ومكان إقامة الزوج </t>
  </si>
  <si>
    <r>
      <t xml:space="preserve">Municipality
</t>
    </r>
    <r>
      <rPr>
        <sz val="10"/>
        <rFont val="Arial"/>
        <family val="2"/>
        <charset val="178"/>
      </rPr>
      <t xml:space="preserve">Place of Husband </t>
    </r>
  </si>
  <si>
    <t xml:space="preserve">إشهادات الطلاق حسب جنسية ومكان إقامة الزوجة </t>
  </si>
  <si>
    <r>
      <t xml:space="preserve">Municipality
</t>
    </r>
    <r>
      <rPr>
        <sz val="10"/>
        <rFont val="Arial"/>
        <family val="2"/>
        <charset val="178"/>
      </rPr>
      <t xml:space="preserve">Place of Wife </t>
    </r>
  </si>
  <si>
    <t>جدول رقم (22-1)</t>
  </si>
  <si>
    <t>Table No. (22-1)</t>
  </si>
  <si>
    <t>Table No. (22-2)</t>
  </si>
  <si>
    <t>جدول رقم (22-2)</t>
  </si>
  <si>
    <t>جدول رقم (6-1)</t>
  </si>
  <si>
    <t>Table No. (6-1)</t>
  </si>
  <si>
    <t>Table No. (6-2)</t>
  </si>
  <si>
    <t>جدول رقم (6-2)</t>
  </si>
  <si>
    <t>6-1</t>
  </si>
  <si>
    <t>6-2</t>
  </si>
  <si>
    <t>22-1</t>
  </si>
  <si>
    <t>22-2</t>
  </si>
  <si>
    <t xml:space="preserve"> المقصود بالبلدية هو مكان إقامة الزوج والزوجة .</t>
  </si>
  <si>
    <r>
      <t>Means place of husband &amp; wife resident</t>
    </r>
    <r>
      <rPr>
        <b/>
        <sz val="11"/>
        <rFont val="Arial"/>
        <family val="2"/>
      </rPr>
      <t>.</t>
    </r>
  </si>
  <si>
    <r>
      <t>قطريات</t>
    </r>
    <r>
      <rPr>
        <b/>
        <sz val="8"/>
        <rFont val="Arial"/>
        <family val="2"/>
      </rPr>
      <t xml:space="preserve">
Qatari</t>
    </r>
  </si>
  <si>
    <r>
      <t>قطريات</t>
    </r>
    <r>
      <rPr>
        <b/>
        <sz val="8"/>
        <rFont val="Arial"/>
        <family val="2"/>
        <charset val="178"/>
      </rPr>
      <t xml:space="preserve">
Qatari</t>
    </r>
  </si>
  <si>
    <t xml:space="preserve">      ويسر وزارة التخطيط التنموي والإحصاء أن تقدم هذه النشـرة السنوية للإحصاءات الحيوية (الزواج والطلاق) لعام 2015 آملة أن تكون ذات فائدة كبيرة للمخططين والباحثين .</t>
  </si>
  <si>
    <t xml:space="preserve">عقود الزواج وإشهادات الطلاق المسجلة حسب جنسية الزوج (2006 - 2015)  </t>
  </si>
  <si>
    <t>2006 - 2015</t>
  </si>
  <si>
    <t>Registered marriages and divorces by husband’s nationality (2006 - 2015)</t>
  </si>
  <si>
    <t>Average age at first marriage (2006 - 2015)</t>
  </si>
  <si>
    <t>Marriages and divorces crude rate per (1000) population (2006 - 2015)</t>
  </si>
  <si>
    <t>Marriages by nationality  and place of husband (2015)</t>
  </si>
  <si>
    <t>Marriages by nationality  and place of wife (2015)</t>
  </si>
  <si>
    <t>Marriages by nationality of husband, nationality of wife and month (2015)</t>
  </si>
  <si>
    <t>Marriages by nationality of wife and husband (2015)</t>
  </si>
  <si>
    <t>Marriages by husband age group and nationality (2015)</t>
  </si>
  <si>
    <t>Marriages by wife age group and nationality (2015)</t>
  </si>
  <si>
    <t>Marriages by  age group of wife and husband (Qataris) (2015)</t>
  </si>
  <si>
    <t>Marriages by  age group of wife and husband (total) (2015)</t>
  </si>
  <si>
    <t>Marriages by  number of  wives   and husband’s  age group (Qataris)  (2015)</t>
  </si>
  <si>
    <t>Marriages by  number of wives and  husband’s age group(Non-Qataris)   (2015)</t>
  </si>
  <si>
    <t>Marriages by  number of wives and husband’s age group (total)  (2015)</t>
  </si>
  <si>
    <t>Marriages by husband marital status and age group (Qataris)  (2015)</t>
  </si>
  <si>
    <t>Marriage by husband marital status and age group (Non-Qataris)   (2015)</t>
  </si>
  <si>
    <t>Marriage by husband marital status and age group (total)  (2015)</t>
  </si>
  <si>
    <t>Marriages by wife marital status and age group (Qataris)  (2015)</t>
  </si>
  <si>
    <t>Marriages by wife marital status and age group (Non-Qataris)  (2015)</t>
  </si>
  <si>
    <t>Marriages by wife marital status and age group (total)  (2015)</t>
  </si>
  <si>
    <t>First marriages of husband and wife by age (Qataris)  (2015)</t>
  </si>
  <si>
    <t>First marriages of husband and wife by age (total)  (2015)</t>
  </si>
  <si>
    <t>Marriages by educational status of wife and husband (Qataris)  (2015)</t>
  </si>
  <si>
    <t>Marriages by educational status of wife and husband (Non-Qataris)  (2015)</t>
  </si>
  <si>
    <t>Marriages by educational status of wife and husband (total)  (2015)</t>
  </si>
  <si>
    <t>Marriages by wife and husband occupation (Qataris)  (2015)</t>
  </si>
  <si>
    <t>Marriages by  wife and husband occupation (total)  (2015)</t>
  </si>
  <si>
    <t>Marriages for Qataris according to the relations, age group of wife and husband (relation from first class)  (2015)</t>
  </si>
  <si>
    <t>Marriages for Qataris according to the relations, age group of wife and husband (relation from second class)  (2015)</t>
  </si>
  <si>
    <t>Marriages for Qataris according to the relations, age group of wife and husband (no relation) (2015)</t>
  </si>
  <si>
    <t>Marriages by number of husband's children &amp; nationality of husband &amp; wife (2015)</t>
  </si>
  <si>
    <t>Marriages by number of wife's children &amp; nationality of husband &amp; wife (2015)</t>
  </si>
  <si>
    <t>General divorces  rate by nationality &amp; gender per 1000 population(15 year and above) (2006 - 2015)</t>
  </si>
  <si>
    <t>Divorces by nationality and place of husband  (2015)</t>
  </si>
  <si>
    <t>Divorces by nationality  and place of  wife residence  (2015)</t>
  </si>
  <si>
    <t>Divorces by nationality of husband, nationality of wife and month  (2015)</t>
  </si>
  <si>
    <t>Divorces by type of divorce and nationality of husband  (2015)</t>
  </si>
  <si>
    <t>Divorces by  type of divorce and age group of husband (Qataris)  (2015)</t>
  </si>
  <si>
    <t>Divorces by  type of divorce and age group of husband (Non-Qataris)  (2015)</t>
  </si>
  <si>
    <t>Divorces by  type of divorce and age group of husband (total)  (2015)</t>
  </si>
  <si>
    <t>Divorces by  type of divorce and age group of wife (Qataris)  (2015)</t>
  </si>
  <si>
    <t>Divorces by  type of divorce and age group of wife   (Non-Qataris)  (2015)</t>
  </si>
  <si>
    <t>Divorces by  type of divorce and age group of wife (total)  (2015)</t>
  </si>
  <si>
    <t>Divorces by type, initiator and nationalities of husband and wife (2015)</t>
  </si>
  <si>
    <t>Divorces by type of divorce and duration of marriage of husband (Qataris)  (2015)</t>
  </si>
  <si>
    <t>Divorces by type of divorce and duration of marriage of husband (Non-Qataris)  (2015)</t>
  </si>
  <si>
    <t>Divorces by type of divorce and duration of marriage of husband (total)  (2015)</t>
  </si>
  <si>
    <t>Divorces  by husband and wife, nationality, divorce initiators number and duration of marriage for husband (2015)</t>
  </si>
  <si>
    <t>Divorces by type of divorce and duration of marriage of wife (Qataris)  (2015)</t>
  </si>
  <si>
    <t>Divorces by type of divorce and duration of marriage of wife (Non-Qataris)  (2015)</t>
  </si>
  <si>
    <t>Divorces by type of divorce and duration of marriage of wife (total)  (2015</t>
  </si>
  <si>
    <t>Divorces by duration of marriage and age group of husband (Qataris)  (2015)</t>
  </si>
  <si>
    <t>Divorces by duration of marriage and age group of husband (Non-Qataris)  (2015</t>
  </si>
  <si>
    <t>Number of children is not stated in the case of the previous husbands ( 9 ) cases</t>
  </si>
  <si>
    <t>عدد حالات غير مبين لعدد الأبناء في حالة الأزواج السابقين وهى ( 9 )</t>
  </si>
  <si>
    <t>عدد حالات غير مبين لعدد الأبناء في حالة الزوج الحالي وهى ( 5 )</t>
  </si>
  <si>
    <t xml:space="preserve">Number of children is not stated in the case of the current husband ( 5 ) cases  </t>
  </si>
  <si>
    <t>General marriage rate by nationality &amp; gender per 1000 population (15 year and above) 
 (2006 - 2015)</t>
  </si>
  <si>
    <t>Marriages by  age group of wife and husband
 (Non-Qataris) (2015)</t>
  </si>
  <si>
    <t>First marriages of husband and wife by age
 (Non- Qataris)  (2015)</t>
  </si>
  <si>
    <t>Marriages by  wife and husband occupation
 (Non-Qataris)  (2015)</t>
  </si>
  <si>
    <t>Divorces by duration of marriage and age group of husband (total)  (2015)</t>
  </si>
  <si>
    <t>Divorces by duration of marriage and age group of wife (Qataris)  (2015)</t>
  </si>
  <si>
    <t>Divorces by duration of marriage and age group of wife (Non-Qataris)  (2015)</t>
  </si>
  <si>
    <t>Divorces by duration of marriage and age group of wife (total)  (2015)</t>
  </si>
  <si>
    <t>Divorces by age group of wife and husband (Qataris)  (2015)</t>
  </si>
  <si>
    <t>Divorces by age group of wife and husband (Non-Qataris)  (2015)</t>
  </si>
  <si>
    <t>Divorces by age group of wife and husband (total)  (2015)</t>
  </si>
  <si>
    <t>Divorces by husband age group and nationality   (2015)</t>
  </si>
  <si>
    <t>Divorces by wife age group and nationality  (2015)</t>
  </si>
  <si>
    <t>Divorces by number of wives and nationality of husband and his age group (2015)</t>
  </si>
  <si>
    <t>Divorces by educational status of wife and husband (Qataris)  (2015)</t>
  </si>
  <si>
    <t>Divorces by educational status of wife and husband (Non-Qataris)  (2015)</t>
  </si>
  <si>
    <t>Divorces by educational status of wife and husband (total)  (2015)</t>
  </si>
  <si>
    <t>Divorces by educational status of wife and her age group (Qataris)  (2015)</t>
  </si>
  <si>
    <t>Divorces by educational status of wife and her age group (Non-Qataris)  (2015)</t>
  </si>
  <si>
    <t>Divorces by educational status of wife and her age group (total)  (2015)</t>
  </si>
  <si>
    <t>Divorces by occupation of wife and husband (Qataris)  (2015)</t>
  </si>
  <si>
    <t>Divorces by occupation of wife and husband
 (Non-Qataris)  (2015)</t>
  </si>
  <si>
    <t>Divorces by occupation of wife and husband (total)  (2015)</t>
  </si>
  <si>
    <t>Divorces of qatari  according to relation and age group of wife and husband (relation of first class) (2015)</t>
  </si>
  <si>
    <t>Divorces of qatari  according to relation and age group of wife and husband (relation of second class) (2015)</t>
  </si>
  <si>
    <t>Divorces of qatari  according to relation and age group of wife and husband (no relation) (2015)</t>
  </si>
  <si>
    <t>Number of children of divorcee by age group of husband and wife (Qataris) (2015)</t>
  </si>
  <si>
    <t>Number of children of divorcee by age group of husband and wife (Non-Qataris) (2015)</t>
  </si>
  <si>
    <t>Number of children of divorcee by age group of husband and wife (total) (2015)</t>
  </si>
  <si>
    <t>Divorces by number of children and age group of wife (Qataris) (2015)</t>
  </si>
  <si>
    <t>Divorces by number of children and age group of wife (Non-Qataris) (2015)</t>
  </si>
  <si>
    <t>Divorces by number of children and age group of wife (total) (2015)</t>
  </si>
  <si>
    <t>Divorces by number of wife's children &amp; nationality of husband &amp; wife (2015)</t>
  </si>
  <si>
    <t>Divorces  by nationality of husband, wife &amp; number of wife's children  and duration of marriage for husband (2015)</t>
  </si>
  <si>
    <t>عدد الأبناء للمطلقة من الأزواج السابقين حسب جنسية الزوجة (2015)</t>
  </si>
  <si>
    <t>No. of children of the divorcee from previous husbands by wife nationality (2015)</t>
  </si>
  <si>
    <t>No. of children of the divorcee from current husbands by wife nationality (2015)</t>
  </si>
  <si>
    <t>متوسط العمر عند أول زواج (2006 - 2015)</t>
  </si>
  <si>
    <t>معدلات الزواج والطلاق الخام لكل ألف من السكان 
(2006 - 2015)</t>
  </si>
  <si>
    <t>معدل الزواج العام حسب الجنسية والنوع لكل الف من السكان (15 سنة فأكثر)  (2006 - 2015)</t>
  </si>
  <si>
    <t xml:space="preserve">عقود الزواج حسب جنسية ومكان إقامة الزوج (2015) </t>
  </si>
  <si>
    <t xml:space="preserve">عقود الزواج حسب جنسية ومكان إقامة الزوجة (2015) </t>
  </si>
  <si>
    <t>عقود الزواج حسب جنسية الزوج والزوجة والشهر (2015)</t>
  </si>
  <si>
    <t>عقود الزواج حسب جنسية الزوجة والزوج (2015)</t>
  </si>
  <si>
    <t>عقود الزواج حسب فئة عمر الزوج وجنسيته (2015)</t>
  </si>
  <si>
    <t>عقود الزواج حسب فئة عمر الزوجة وجنسيتها (2015)</t>
  </si>
  <si>
    <t>عقود الزواج حسب فئة عمر الزوجة والزوج (قطريون) (2015)</t>
  </si>
  <si>
    <t>عقود الزواج حسب فئة عمر الزوجة والزوج (غير قطريين) (2015)</t>
  </si>
  <si>
    <t>عقود الزواج حسب فئة عمر الزوجة والزوج (المجموع) (2015)</t>
  </si>
  <si>
    <t>عقود الزواج حسب عدد الزوجات بالعصمة وفئة عمر الزوج (قطريون) (2015)</t>
  </si>
  <si>
    <t>عقــود الزواج حسب عدد الزوجـات بالعصمــة وفئة عمر الزوج (غير قطريين) (2015)</t>
  </si>
  <si>
    <t>عقود الزواج حسب عدد الزوجات بالعصمة وفئة عمر الزوج (المجموع) (2015)</t>
  </si>
  <si>
    <t>عقود الزواج حسب الحالة الزواجية للزوج وفئة عمر الزوج (قطريون) (2015)</t>
  </si>
  <si>
    <t>عقود الزواج حسب الحالة الزواجية للزوج وفئة عمر الزوج (غير قطريين) (2015)</t>
  </si>
  <si>
    <t>عقود الزواج حسب الحالة الزواجية للزوج وفئة عمر الزوج (المجموع) (2015)</t>
  </si>
  <si>
    <t>عقود الزواج حسب الحالة الزواجية للزوجة وفئة عمرها (قطريات) (2015)</t>
  </si>
  <si>
    <t>عقود الزواج حسب الحالة الزواجية للزوجة وفئة عمرها
(غير قطريات) (2015)</t>
  </si>
  <si>
    <t>عقود الزواج حسب الحالة الزواجية للزوجة وفئة عمرها (المجموع) (2015)</t>
  </si>
  <si>
    <t>عقود الزواج الأول للزوج والزوجة حسب العمر (قطريون) (2015)</t>
  </si>
  <si>
    <t>عقود الزواج الأول للزوج والزوجة حسب العمر(غير قطريين) (2015)</t>
  </si>
  <si>
    <t>عقود الزواج الأول للزوج والزوجة حسب العمر (المجموع) (2015)</t>
  </si>
  <si>
    <t>عقود الزواج حسب الحالة التعليمية للزوجة والزوج (قطريون) (2015)</t>
  </si>
  <si>
    <t>عقود الزواج حسب الحالة التعليمية للزوجة والزوج 
(غير قطريين) (2015)</t>
  </si>
  <si>
    <t>عقود الزواج حسب الحالة التعليمية للزوجة والزوج (المجموع) (2015)</t>
  </si>
  <si>
    <t>عقود الزواج حسب مهنة الزوجة والزوج (قطريون) (2015)</t>
  </si>
  <si>
    <t>عقود الزواج حسب مهنة الزوجة والزوج (غير قطريين) (2015)</t>
  </si>
  <si>
    <t>عقود الزواج حسب مهنة الزوجة والزوج (المجموع) (2015)</t>
  </si>
  <si>
    <t>عقود الزواج للقطريين حسب صلة القرابة وفئة عمر الزوجة والزوج (قرابة من الدرجة الأولى) (2015)</t>
  </si>
  <si>
    <t>عقود الزواج للقطريين حسب صلة القرابة وفئة عمر الزوجة والزوج (قرابة من الدرجة الثانية) (2015)</t>
  </si>
  <si>
    <t>عقود الزواج للقطريين حسب صلة القرابة وفئة عمر الزوجة والزوج (لا توجد صلة قرابة) (2015)</t>
  </si>
  <si>
    <t>عقود الزواج حسب عدد أبناء الزوج وجنسية الزوج والزوجة ( 2015 )</t>
  </si>
  <si>
    <t>عقود الزواج حسب عدد أبناء الزوجة وجنسية الزوج والزوجة ( 2015 )</t>
  </si>
  <si>
    <t>معدل الطلاق العام حسب الجنسية والجنس لكل الف من السكان (15 سنة فأكثر) (2006 - 2015)</t>
  </si>
  <si>
    <t>إشهادات الطلاق حسب جنسية ومكان إقامة الزوج (2015)</t>
  </si>
  <si>
    <t>إشهادات الطلاق حسب جنسية ومكان إقامة الزوجة (2015)</t>
  </si>
  <si>
    <t>إشهادات الطلاق حسب جنسية الزوج والزوجة والشهر (2015)</t>
  </si>
  <si>
    <t>إشهادات الطلاق حسب نوع الطلاق وجنسية الزوج (2015)</t>
  </si>
  <si>
    <t>إشهادات الطلاق حسب نوع الطلاق وفئة عمر الزوج (قطريون) (2015)</t>
  </si>
  <si>
    <t>إشهادات الطلاق حسب نوع الطلاق وفئة عمر الزوج
(غير قطريين) (2015)</t>
  </si>
  <si>
    <t>إشهادات الطلاق حسب نوع الطلاق وفئة عمر الزوج (المجموع) (2015)</t>
  </si>
  <si>
    <t>إشهادات الطلاق حسب نوع الطلاق وفئة عمر الزوجة (قطريات) (2015)</t>
  </si>
  <si>
    <t>إشهادات الطلاق حسب نوع الطلاق وفئة عمر الزوجة
(غير قطريات) (2015)</t>
  </si>
  <si>
    <t>إشهادات الطلاق حسب نوع الطلاق وفئة عمر الزوجة (المجموع) (2015)</t>
  </si>
  <si>
    <t>إشهادات الطلاق حسب نوع الطلاق وطالب الطلاق وجنسية الزوج والزوجة (2015)</t>
  </si>
  <si>
    <t>إشهادات الطلاق حسب نوع الطلاق ومدة الحياة الزواجية للزوج (قطريون) (2015)</t>
  </si>
  <si>
    <t>إشهادات الطلاق حسب نوع الطلاق ومدة الحياة الزواجية للزوج (غير قطريين) (2015)</t>
  </si>
  <si>
    <t>إشهادات الطلاق حسب نوع الطلاق ومدة الحياة الزواجية للزوج (المجموع) (2015)</t>
  </si>
  <si>
    <t>إشهادات الطلاق حسب جنسية الزوج والزوجة وعدد طالبي الطلاق ومدة الحياة الزواجية للزوج (2015)</t>
  </si>
  <si>
    <t>إشهادات الطلاق حسب نوع الطلاق ومدة الحياة الزواجية للزوجة (قطريات) (2015)</t>
  </si>
  <si>
    <t>إشهادات الطلاق حسب نوع الطلاق ومدة الحياة الزواجية للزوجة (غيرقطريات) (2015)</t>
  </si>
  <si>
    <t>إشهادات الطلاق حسب نوع الطلاق ومدة الحياة الزواجية للزوجة (المجموع) (2015)</t>
  </si>
  <si>
    <t>إشهادات الطلاق حسب مدة الحياة الزواجية وفئة عمر الزوج (قطريون) (2015)</t>
  </si>
  <si>
    <t>إشهادات الطلاق حسب مدة الحياة الزواجية وفئة عمر الزوج
(غير قطريين) (2015)</t>
  </si>
  <si>
    <t>إشهادات الطلاق حسب مدة الحياة الزواجية وفئة عمر الزوج
(المجموع) (2015)</t>
  </si>
  <si>
    <t>إشهادات الطلاق حسب مدة الحياة الزواجية وفئة عمر الزوجة (قطريات) (2015)</t>
  </si>
  <si>
    <t>إشهادات الطلاق حسب مدة الحياة الزواجية وفئة عمر الزوجة
(غير قطريات) (2015)</t>
  </si>
  <si>
    <t>إشهادات الطلاق حسب مدة الحياة الزواجية وفئة عمر الزوجة
(لمجموع) (2015)</t>
  </si>
  <si>
    <t>إشهادات الطلاق حسب فئة عمر الزوجة والزوج (قطريون) (2015)</t>
  </si>
  <si>
    <t>إشهادات الطلاق حسب فئة عمر الزوجة والزوج (غير قطريين) (2015)</t>
  </si>
  <si>
    <t>إشهادات الطلاق حسب فئة عمر الزوجة والزوج (المجموع) (2015)</t>
  </si>
  <si>
    <t>إشهادات الطلاق حسب فئة عمر الزوج وجنسيته (2015)</t>
  </si>
  <si>
    <t>إشهادات الطلاق حسب فئة عمر الزوجة وجنسيتها (2015)</t>
  </si>
  <si>
    <t>إشهادات الطلاق حسب جنسية الزوجة والزوج (2015)</t>
  </si>
  <si>
    <t>إشهادات الطلاق حسب عدد الزوجات الباقيات بالعصمة وجنسية الزوج وفئة عمره (2015)</t>
  </si>
  <si>
    <t>إشهادات الطلاق حسب الحالة التعليمية للزوجة والزوج (قطريون) (2015)</t>
  </si>
  <si>
    <t>إشهادات الطلاق حسب الحالة التعليمية للزوجة والزوج
(غير قطريين) (2015)</t>
  </si>
  <si>
    <t>إشهادات الطلاق حسب الحالة التعليمية للزوجة والزوج (المجموع) (2015)</t>
  </si>
  <si>
    <t>إشهادات الطلاق حسب الحالة التعليمية للزوجة وفئة عمرها (قطريات) (2015)</t>
  </si>
  <si>
    <t>إشهادات الطلاق حسب الحالة التعليمية للزوجة وفئة عمرها 
(غير قطريات) (2015)</t>
  </si>
  <si>
    <t>إشهادات الطلاق حسب الحالة التعليمية للزوجة وفئة عمرها (المجموع) (2015)</t>
  </si>
  <si>
    <t>إشهادات الطلاق حسب مهنة الزوجة والزوج (قطريون) (2015)</t>
  </si>
  <si>
    <t>إشهادات الطلاق حسب مهنة الزوجة والزوج (غير قطريين) (2015)</t>
  </si>
  <si>
    <t>إشهادات الطلاق حسب مهنة الزوجة والزوج (المجموع) (2015)</t>
  </si>
  <si>
    <t>إشهادات الطلاق للقطريين حسب صلة القرابة وفئة عمر الزوج والزوجة (القرابة من الدرجة الأولى) (2015)</t>
  </si>
  <si>
    <t>إشهادات الطلاق للقطريين حسب صلة القرابة وفئة عمر الزوج والزوجة (القرابة من الدرجة الثانية) (2015)</t>
  </si>
  <si>
    <t>عدد الأبناء للمطلقة حسب فئة عمرالزوج والزوجة (قطريون) (2015)</t>
  </si>
  <si>
    <t>عدد الأبناء للمطلقة حسب فئة عمرالزوج والزوجة (غير قطريين) (2015)</t>
  </si>
  <si>
    <t>عدد الأبناء للمطلقة حسب فئة عمرالزوج والزوجة (المجموع) (2015)</t>
  </si>
  <si>
    <t>إشهادات الطلاق حسب عدد الأبناء وفئة عمر الزوجة (قطريات) (2015)</t>
  </si>
  <si>
    <t>إشهادات الطلاق حسب عدد الأبناء وفئة عمر الزوجة(غير قطريات) (2015)</t>
  </si>
  <si>
    <t>إشهادات الطلاق حسب عدد الأبناء وفئة عمر الزوجة(المجموع) (2015)</t>
  </si>
  <si>
    <t>إشهادات الطلاق حسب عدد أبناء الزوجة وجنسية الزوج والزوجة (2015)</t>
  </si>
  <si>
    <t>إشهادات الطلاق حسب جنسية الزوج والزوجة وعدد أبناء الزوجة ومدة الحياة الزواجية للزوج (2015)</t>
  </si>
  <si>
    <t>عدد الأبناء للمطلقة من الزوج الحالي حسب جنسية الزوجة (2015)</t>
  </si>
  <si>
    <t>Registered marriages &amp; divorces (2006 - 2015)</t>
  </si>
  <si>
    <t>Average age at first marriage (Qataris)
 (2006 - 2015)</t>
  </si>
  <si>
    <t>Marriages and divorces crude rate (2006 - 2015)</t>
  </si>
  <si>
    <t>Marriages by general rate (2006 - 2015)</t>
  </si>
  <si>
    <t>Marriages by nationality of husband, nationality of wife and place of husband &amp; wife residence (2015)</t>
  </si>
  <si>
    <t xml:space="preserve">Marriages by nationality of husband (2015) </t>
  </si>
  <si>
    <t>Marriages by educational status of wife and husband (2015)</t>
  </si>
  <si>
    <t>Marriages by wife and husband occupation   (2015)</t>
  </si>
  <si>
    <t>Divorces by general rate (2006 - 2015)</t>
  </si>
  <si>
    <t>Divorces by nationality of husband, nationality of wife and place of husband &amp; wife residence (2015)</t>
  </si>
  <si>
    <t>Divorces by nationality of husband and month (2015)</t>
  </si>
  <si>
    <t>Divorces by type of divorce (2015) (Qataris)</t>
  </si>
  <si>
    <t>Divorces by nationality of husband (2015)</t>
  </si>
  <si>
    <t>Divorces by nationality of wife and husband (2015)</t>
  </si>
  <si>
    <t>Divorces by educational status of wife and husband (2015)</t>
  </si>
  <si>
    <t>Divorces by occupation of wife and husband (2015)</t>
  </si>
  <si>
    <t>Divorces of Qatari  according to relation and age group of wife and husband (relation of first class) (2015)</t>
  </si>
  <si>
    <t>Divorces of Qatari  according to relation and age group of wife and husband (relation of second class) (2015)</t>
  </si>
  <si>
    <t>Divorces of Qatari  according to relation and age group of wife and husband (no relation) (2015)</t>
  </si>
  <si>
    <t>عقود الزواج وإشهادات الطلاق – المسجلة حسب جنسية الزوج
(2006 - 2015 )</t>
  </si>
  <si>
    <t>متوسط العمر عن أول زواج (قطريون) 
(2006 - 2015)</t>
  </si>
  <si>
    <t>معدلات الزواج والطلاق الخام (2006 - 2015)</t>
  </si>
  <si>
    <t>معدل الزواج العام (2006 - 2015)</t>
  </si>
  <si>
    <t>عقود الزواج حسب جنسية الزوج والزوجة ومكان إقامة الزوج والزوجة (2015)</t>
  </si>
  <si>
    <t>عقود الزواج المسجلة حسب جنسية الزوج (2015)</t>
  </si>
  <si>
    <t>عقود الزواج المسجلة حسب الحالة التعليمية للزوجة و الزوج (2015)</t>
  </si>
  <si>
    <t>عقود الزواج المسجلة حسب مهنة الزوجة والزوج (2015)</t>
  </si>
  <si>
    <t>عقود الزواج حسب عدد أبناء الزوجة وجنسية الزوج والزوجة (2015)</t>
  </si>
  <si>
    <t>معدل الطلاق العام (2006 - 2015)</t>
  </si>
  <si>
    <t>إشهادات الطلاق حسب جنسية الزوج والزوجة ومكان إقامة الزوج والزوجة (2015)</t>
  </si>
  <si>
    <t>إشهادات الطلاق حسب جنسية الزوج والشهر (2015)</t>
  </si>
  <si>
    <t>إشهادات الطلاق حسب نوع الطلاق (2015) ) (قطريون)</t>
  </si>
  <si>
    <t>إشهادات الطلاق حسب جنسية الزوج (2015)</t>
  </si>
  <si>
    <t>إشهادات الطلاق حسب الحالة التعليمية للزوجة والزوج (2015)</t>
  </si>
  <si>
    <t>إشهادات الطلاق للقطريين حسب صلة القرابة وفئة عمر الزوج والزوجة (لا توجد صلة قرابة) (2015)</t>
  </si>
  <si>
    <r>
      <t xml:space="preserve">البلدية
</t>
    </r>
    <r>
      <rPr>
        <sz val="11"/>
        <rFont val="Arial"/>
        <family val="2"/>
      </rPr>
      <t>مكان إقامة الزوج</t>
    </r>
  </si>
  <si>
    <t>MARRIAGES BY NATIONALITY  AND 
PLACE OF HUSBAND</t>
  </si>
  <si>
    <t>MARRIAGES BY NATIONALITY  AND 
PLACE OF WIFE</t>
  </si>
  <si>
    <t xml:space="preserve">NO. OF CHILDREN OF THE DIVORCEE FROM CURRENT
 HUSBANDS BY WIFE NATIONALITY    </t>
  </si>
  <si>
    <t>NO. OF CHILDREN OF THE DIVORCEE FROM PREVIOUS HUSBANDS
BY WIFE NATIONALITY</t>
  </si>
  <si>
    <t xml:space="preserve">     The Ministry of Development Planning and Statistics has the pleasure to introduce this Annual Bulletin of Vital  Statistics (Marriages and Divorces) for the year 2015, hoping that it would be of great interest for planners and researchers.</t>
  </si>
  <si>
    <t>2010 - 2014</t>
  </si>
  <si>
    <t>الشحانية</t>
  </si>
  <si>
    <t>Al Sheehaniya</t>
  </si>
  <si>
    <t>DIVORCES BY NATIONALITY  
AND PLACE OF HUSBAND</t>
  </si>
  <si>
    <t>DIVORCES BY NATIONALITY  
AND PLACE OF WIFE</t>
  </si>
  <si>
    <t>(0) حالة طلاق غير مبين عدد أبنائهم من الزوج الحالي فقط</t>
  </si>
  <si>
    <t>Numbe of children of (0) Divorce cases Not stated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</si>
</sst>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88">
    <font>
      <sz val="11"/>
      <color theme="1"/>
      <name val="Calibri"/>
      <family val="2"/>
      <charset val="178"/>
      <scheme val="minor"/>
    </font>
    <font>
      <sz val="10"/>
      <name val="Arial"/>
      <family val="2"/>
    </font>
    <font>
      <b/>
      <sz val="14"/>
      <color indexed="12"/>
      <name val="Arial"/>
      <family val="2"/>
    </font>
    <font>
      <b/>
      <sz val="12"/>
      <color indexed="12"/>
      <name val="Arial"/>
      <family val="2"/>
    </font>
    <font>
      <b/>
      <sz val="12"/>
      <name val="Arial"/>
      <family val="2"/>
    </font>
    <font>
      <b/>
      <sz val="9"/>
      <name val="Arial"/>
      <family val="2"/>
    </font>
    <font>
      <b/>
      <sz val="12"/>
      <name val="Arial"/>
      <family val="2"/>
      <charset val="178"/>
    </font>
    <font>
      <b/>
      <sz val="11"/>
      <name val="Arial"/>
      <family val="2"/>
      <charset val="178"/>
    </font>
    <font>
      <b/>
      <sz val="8"/>
      <name val="Arial"/>
      <family val="2"/>
    </font>
    <font>
      <sz val="8"/>
      <name val="Arial"/>
      <family val="2"/>
      <charset val="178"/>
    </font>
    <font>
      <b/>
      <sz val="10"/>
      <color indexed="10"/>
      <name val="Arial"/>
      <family val="2"/>
      <charset val="178"/>
    </font>
    <font>
      <sz val="10"/>
      <name val="Arial"/>
      <family val="2"/>
      <charset val="178"/>
    </font>
    <font>
      <b/>
      <sz val="14"/>
      <name val="Arial"/>
      <family val="2"/>
    </font>
    <font>
      <b/>
      <sz val="13"/>
      <name val="Arial"/>
      <family val="2"/>
    </font>
    <font>
      <b/>
      <sz val="10"/>
      <name val="Arial"/>
      <family val="2"/>
    </font>
    <font>
      <b/>
      <sz val="11"/>
      <name val="Arial"/>
      <family val="2"/>
    </font>
    <font>
      <sz val="12"/>
      <name val="Arial"/>
      <family val="2"/>
    </font>
    <font>
      <sz val="11"/>
      <name val="Arial"/>
      <family val="2"/>
    </font>
    <font>
      <b/>
      <sz val="20"/>
      <name val="Arabic Transparent"/>
      <charset val="178"/>
    </font>
    <font>
      <sz val="14"/>
      <name val="Arabic Transparent"/>
      <charset val="178"/>
    </font>
    <font>
      <sz val="10"/>
      <name val="Times New Roman"/>
      <family val="1"/>
    </font>
    <font>
      <b/>
      <sz val="14"/>
      <name val="Arabic Transparent"/>
      <charset val="178"/>
    </font>
    <font>
      <sz val="12"/>
      <name val="Times New Roman"/>
      <family val="1"/>
    </font>
    <font>
      <b/>
      <sz val="15"/>
      <name val="AF_Najed"/>
      <charset val="178"/>
    </font>
    <font>
      <b/>
      <sz val="14"/>
      <color theme="5"/>
      <name val="Arial"/>
      <family val="2"/>
    </font>
    <font>
      <b/>
      <sz val="38"/>
      <color theme="5"/>
      <name val="AGA Arabesque"/>
      <charset val="2"/>
    </font>
    <font>
      <b/>
      <sz val="10"/>
      <name val="Arabic Transparent"/>
      <charset val="178"/>
    </font>
    <font>
      <b/>
      <sz val="10"/>
      <name val="Traditional Arabic"/>
      <family val="1"/>
    </font>
    <font>
      <sz val="9"/>
      <name val="Arial"/>
      <family val="2"/>
    </font>
    <font>
      <b/>
      <sz val="9"/>
      <color indexed="12"/>
      <name val="Arial"/>
      <family val="2"/>
    </font>
    <font>
      <b/>
      <sz val="11"/>
      <color indexed="12"/>
      <name val="PT Bold Heading"/>
      <charset val="178"/>
    </font>
    <font>
      <b/>
      <sz val="10"/>
      <color indexed="12"/>
      <name val="Traditional Arabic"/>
      <family val="1"/>
    </font>
    <font>
      <b/>
      <sz val="13"/>
      <name val="Arabic Transparent"/>
      <charset val="178"/>
    </font>
    <font>
      <b/>
      <sz val="11"/>
      <name val="Traditional Arabic"/>
      <family val="1"/>
    </font>
    <font>
      <b/>
      <sz val="16"/>
      <color indexed="12"/>
      <name val="Arial"/>
      <family val="2"/>
    </font>
    <font>
      <b/>
      <sz val="16"/>
      <name val="Arial"/>
      <family val="2"/>
    </font>
    <font>
      <b/>
      <sz val="8"/>
      <name val="Arial"/>
      <family val="2"/>
      <charset val="178"/>
    </font>
    <font>
      <b/>
      <sz val="12"/>
      <name val="Courier New"/>
      <family val="3"/>
    </font>
    <font>
      <b/>
      <sz val="9"/>
      <name val="Arial"/>
      <family val="2"/>
      <charset val="178"/>
    </font>
    <font>
      <b/>
      <vertAlign val="superscript"/>
      <sz val="12"/>
      <name val="Arial"/>
      <family val="2"/>
    </font>
    <font>
      <b/>
      <sz val="10"/>
      <name val="Arial"/>
      <family val="2"/>
      <charset val="178"/>
    </font>
    <font>
      <sz val="12"/>
      <name val="Courier New"/>
      <family val="3"/>
    </font>
    <font>
      <sz val="9"/>
      <name val="Arial"/>
      <family val="2"/>
      <charset val="178"/>
    </font>
    <font>
      <b/>
      <sz val="8"/>
      <color indexed="10"/>
      <name val="Arial"/>
      <family val="2"/>
    </font>
    <font>
      <sz val="7"/>
      <name val="Arial"/>
      <family val="2"/>
    </font>
    <font>
      <sz val="6"/>
      <name val="Arial"/>
      <family val="2"/>
    </font>
    <font>
      <sz val="8"/>
      <name val="Arial"/>
      <family val="2"/>
    </font>
    <font>
      <b/>
      <sz val="11"/>
      <color theme="0"/>
      <name val="Arial"/>
      <family val="2"/>
      <charset val="178"/>
    </font>
    <font>
      <b/>
      <sz val="10"/>
      <color rgb="FFFF0000"/>
      <name val="Arial"/>
      <family val="2"/>
    </font>
    <font>
      <b/>
      <sz val="12"/>
      <color indexed="10"/>
      <name val="Arial"/>
      <family val="2"/>
      <charset val="178"/>
    </font>
    <font>
      <sz val="10"/>
      <name val="Arabic Transparent"/>
      <charset val="178"/>
    </font>
    <font>
      <sz val="9"/>
      <name val="Arabic Transparent"/>
      <charset val="178"/>
    </font>
    <font>
      <b/>
      <sz val="24"/>
      <name val="AdvertisingBold"/>
      <charset val="178"/>
    </font>
    <font>
      <sz val="10"/>
      <color theme="1"/>
      <name val="Arial"/>
      <family val="2"/>
    </font>
    <font>
      <b/>
      <sz val="12"/>
      <color theme="1"/>
      <name val="Arial"/>
      <family val="2"/>
    </font>
    <font>
      <sz val="11"/>
      <color theme="1"/>
      <name val="Arial"/>
      <family val="2"/>
    </font>
    <font>
      <b/>
      <sz val="11"/>
      <color theme="1"/>
      <name val="Arial"/>
      <family val="2"/>
    </font>
    <font>
      <sz val="10"/>
      <name val="Arial"/>
      <family val="2"/>
    </font>
    <font>
      <b/>
      <sz val="10"/>
      <name val="Arial"/>
      <family val="2"/>
    </font>
    <font>
      <b/>
      <sz val="12"/>
      <name val="Arial"/>
      <family val="2"/>
    </font>
    <font>
      <b/>
      <sz val="11"/>
      <name val="Arial"/>
      <family val="2"/>
    </font>
    <font>
      <sz val="11"/>
      <name val="Arial"/>
      <family val="2"/>
    </font>
    <font>
      <b/>
      <sz val="12"/>
      <color theme="1"/>
      <name val="Arial"/>
      <family val="2"/>
    </font>
    <font>
      <sz val="10"/>
      <color theme="1"/>
      <name val="Arial"/>
      <family val="2"/>
    </font>
    <font>
      <b/>
      <sz val="10"/>
      <color theme="1"/>
      <name val="Arial"/>
      <family val="2"/>
    </font>
    <font>
      <b/>
      <sz val="10"/>
      <color indexed="8"/>
      <name val="Arial"/>
      <family val="2"/>
    </font>
    <font>
      <b/>
      <sz val="11"/>
      <color theme="1"/>
      <name val="Arial"/>
      <family val="2"/>
    </font>
    <font>
      <sz val="10"/>
      <color theme="1"/>
      <name val="Arial"/>
      <family val="2"/>
    </font>
    <font>
      <sz val="11"/>
      <color theme="1"/>
      <name val="Arial"/>
      <family val="2"/>
    </font>
    <font>
      <b/>
      <sz val="10"/>
      <name val="Arial"/>
      <family val="2"/>
    </font>
    <font>
      <b/>
      <sz val="12"/>
      <name val="Arial"/>
      <family val="2"/>
    </font>
    <font>
      <sz val="10"/>
      <name val="Arial"/>
      <family val="2"/>
    </font>
    <font>
      <b/>
      <sz val="16"/>
      <color theme="5"/>
      <name val="Arial"/>
      <family val="2"/>
    </font>
    <font>
      <sz val="16"/>
      <color theme="5"/>
      <name val="Arial"/>
      <family val="2"/>
    </font>
    <font>
      <u/>
      <sz val="11"/>
      <color theme="10"/>
      <name val="Calibri"/>
      <family val="2"/>
      <charset val="178"/>
      <scheme val="minor"/>
    </font>
    <font>
      <sz val="11"/>
      <color theme="1"/>
      <name val="Calibri"/>
      <family val="2"/>
      <scheme val="minor"/>
    </font>
    <font>
      <b/>
      <sz val="11"/>
      <color rgb="FF0000FF"/>
      <name val="PT Bold Heading"/>
      <charset val="178"/>
    </font>
    <font>
      <b/>
      <sz val="10"/>
      <color rgb="FF0000FF"/>
      <name val="Traditional Arabic"/>
      <family val="1"/>
    </font>
    <font>
      <b/>
      <sz val="12"/>
      <color rgb="FF0000FF"/>
      <name val="Arial"/>
      <family val="2"/>
    </font>
    <font>
      <b/>
      <sz val="11"/>
      <color theme="1"/>
      <name val="Arial"/>
      <family val="2"/>
    </font>
    <font>
      <sz val="10"/>
      <color theme="1"/>
      <name val="Arial"/>
      <family val="2"/>
    </font>
    <font>
      <b/>
      <sz val="10"/>
      <color theme="1"/>
      <name val="Arial"/>
      <family val="2"/>
    </font>
    <font>
      <sz val="11"/>
      <color theme="1"/>
      <name val="Arial"/>
      <family val="2"/>
    </font>
    <font>
      <b/>
      <sz val="10"/>
      <name val="Arial"/>
      <family val="2"/>
    </font>
    <font>
      <b/>
      <sz val="12"/>
      <name val="Arial"/>
      <family val="2"/>
    </font>
    <font>
      <b/>
      <sz val="10"/>
      <color indexed="8"/>
      <name val="Arial"/>
      <family val="2"/>
    </font>
    <font>
      <b/>
      <sz val="12"/>
      <color theme="1"/>
      <name val="Arial"/>
      <family val="2"/>
    </font>
    <font>
      <b/>
      <sz val="24"/>
      <name val="Sakkal Majalla"/>
    </font>
  </fonts>
  <fills count="7">
    <fill>
      <patternFill patternType="none"/>
    </fill>
    <fill>
      <patternFill patternType="gray125"/>
    </fill>
    <fill>
      <patternFill patternType="solid">
        <fgColor indexed="43"/>
        <bgColor indexed="64"/>
      </patternFill>
    </fill>
    <fill>
      <patternFill patternType="solid">
        <fgColor theme="2"/>
        <bgColor indexed="64"/>
      </patternFill>
    </fill>
    <fill>
      <patternFill patternType="solid">
        <fgColor indexed="22"/>
        <bgColor indexed="64"/>
      </patternFill>
    </fill>
    <fill>
      <patternFill patternType="solid">
        <fgColor indexed="61"/>
        <bgColor indexed="64"/>
      </patternFill>
    </fill>
    <fill>
      <patternFill patternType="solid">
        <fgColor theme="0"/>
        <bgColor indexed="64"/>
      </patternFill>
    </fill>
  </fills>
  <borders count="72">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right style="medium">
        <color theme="0"/>
      </right>
      <top style="thin">
        <color indexed="64"/>
      </top>
      <bottom style="medium">
        <color theme="0"/>
      </bottom>
      <diagonal/>
    </border>
    <border>
      <left style="medium">
        <color theme="0"/>
      </left>
      <right style="medium">
        <color theme="0"/>
      </right>
      <top style="thin">
        <color indexed="64"/>
      </top>
      <bottom style="medium">
        <color theme="0"/>
      </bottom>
      <diagonal/>
    </border>
    <border>
      <left style="medium">
        <color theme="0"/>
      </left>
      <right/>
      <top style="thin">
        <color indexed="64"/>
      </top>
      <bottom style="medium">
        <color theme="0"/>
      </bottom>
      <diagonal/>
    </border>
    <border>
      <left/>
      <right style="medium">
        <color theme="0"/>
      </right>
      <top style="medium">
        <color theme="0"/>
      </top>
      <bottom style="thin">
        <color indexed="64"/>
      </bottom>
      <diagonal/>
    </border>
    <border>
      <left style="medium">
        <color theme="0"/>
      </left>
      <right style="medium">
        <color theme="0"/>
      </right>
      <top style="medium">
        <color theme="0"/>
      </top>
      <bottom style="thin">
        <color indexed="64"/>
      </bottom>
      <diagonal/>
    </border>
    <border>
      <left style="medium">
        <color theme="0"/>
      </left>
      <right/>
      <top style="medium">
        <color theme="0"/>
      </top>
      <bottom style="thin">
        <color indexed="64"/>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style="medium">
        <color theme="0"/>
      </left>
      <right/>
      <top style="thin">
        <color indexed="64"/>
      </top>
      <bottom style="thin">
        <color indexed="64"/>
      </bottom>
      <diagonal/>
    </border>
    <border>
      <left style="thin">
        <color indexed="60"/>
      </left>
      <right style="thin">
        <color indexed="60"/>
      </right>
      <top/>
      <bottom/>
      <diagonal/>
    </border>
    <border>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thin">
        <color indexed="64"/>
      </top>
      <bottom/>
      <diagonal/>
    </border>
    <border>
      <left/>
      <right/>
      <top/>
      <bottom style="thin">
        <color indexed="64"/>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style="thick">
        <color indexed="64"/>
      </left>
      <right/>
      <top/>
      <bottom style="thick">
        <color indexed="64"/>
      </bottom>
      <diagonal/>
    </border>
    <border>
      <left style="thick">
        <color indexed="64"/>
      </left>
      <right/>
      <top/>
      <bottom/>
      <diagonal/>
    </border>
    <border>
      <left/>
      <right/>
      <top style="thin">
        <color indexed="64"/>
      </top>
      <bottom style="thin">
        <color indexed="64"/>
      </bottom>
      <diagonal/>
    </border>
    <border>
      <left/>
      <right style="thick">
        <color indexed="64"/>
      </right>
      <top/>
      <bottom style="thick">
        <color indexed="64"/>
      </bottom>
      <diagonal/>
    </border>
    <border>
      <left/>
      <right style="thick">
        <color indexed="64"/>
      </right>
      <top/>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style="medium">
        <color theme="0"/>
      </left>
      <right/>
      <top/>
      <bottom/>
      <diagonal/>
    </border>
    <border>
      <left style="medium">
        <color theme="0"/>
      </left>
      <right style="medium">
        <color theme="0"/>
      </right>
      <top/>
      <bottom/>
      <diagonal/>
    </border>
    <border>
      <left/>
      <right style="medium">
        <color theme="0"/>
      </right>
      <top/>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right style="medium">
        <color theme="0"/>
      </right>
      <top/>
      <bottom style="thin">
        <color indexed="64"/>
      </bottom>
      <diagonal/>
    </border>
    <border>
      <left style="medium">
        <color theme="0"/>
      </left>
      <right/>
      <top/>
      <bottom style="thin">
        <color indexed="64"/>
      </bottom>
      <diagonal/>
    </border>
    <border>
      <left/>
      <right/>
      <top/>
      <bottom style="medium">
        <color theme="0"/>
      </bottom>
      <diagonal/>
    </border>
    <border>
      <left/>
      <right/>
      <top style="medium">
        <color theme="0"/>
      </top>
      <bottom/>
      <diagonal/>
    </border>
    <border>
      <left style="medium">
        <color theme="0"/>
      </left>
      <right/>
      <top style="thin">
        <color indexed="64"/>
      </top>
      <bottom/>
      <diagonal/>
    </border>
    <border>
      <left/>
      <right style="medium">
        <color theme="0"/>
      </right>
      <top style="thin">
        <color indexed="64"/>
      </top>
      <bottom/>
      <diagonal/>
    </border>
    <border>
      <left/>
      <right/>
      <top style="thin">
        <color indexed="64"/>
      </top>
      <bottom style="medium">
        <color theme="0"/>
      </bottom>
      <diagonal/>
    </border>
    <border>
      <left/>
      <right/>
      <top style="medium">
        <color theme="0"/>
      </top>
      <bottom style="medium">
        <color theme="0"/>
      </bottom>
      <diagonal/>
    </border>
    <border>
      <left/>
      <right/>
      <top style="medium">
        <color theme="0"/>
      </top>
      <bottom style="thin">
        <color indexed="64"/>
      </bottom>
      <diagonal/>
    </border>
    <border>
      <left style="double">
        <color indexed="60"/>
      </left>
      <right/>
      <top/>
      <bottom style="double">
        <color rgb="FF993300"/>
      </bottom>
      <diagonal/>
    </border>
    <border>
      <left/>
      <right/>
      <top/>
      <bottom style="double">
        <color rgb="FF993300"/>
      </bottom>
      <diagonal/>
    </border>
    <border>
      <left/>
      <right style="double">
        <color rgb="FF993300"/>
      </right>
      <top/>
      <bottom style="double">
        <color rgb="FF993300"/>
      </bottom>
      <diagonal/>
    </border>
    <border>
      <left style="medium">
        <color theme="0"/>
      </left>
      <right style="medium">
        <color theme="0"/>
      </right>
      <top style="thin">
        <color theme="1"/>
      </top>
      <bottom/>
      <diagonal/>
    </border>
    <border>
      <left style="medium">
        <color theme="0" tint="-0.34998626667073579"/>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left>
      <right style="medium">
        <color theme="0"/>
      </right>
      <top style="thin">
        <color indexed="64"/>
      </top>
      <bottom style="medium">
        <color indexed="64"/>
      </bottom>
      <diagonal/>
    </border>
    <border>
      <left/>
      <right style="medium">
        <color theme="0"/>
      </right>
      <top style="thin">
        <color theme="1"/>
      </top>
      <bottom style="medium">
        <color theme="0"/>
      </bottom>
      <diagonal/>
    </border>
    <border>
      <left style="medium">
        <color theme="0"/>
      </left>
      <right style="medium">
        <color theme="0"/>
      </right>
      <top style="thin">
        <color theme="1"/>
      </top>
      <bottom style="medium">
        <color theme="0"/>
      </bottom>
      <diagonal/>
    </border>
    <border>
      <left style="medium">
        <color theme="0"/>
      </left>
      <right/>
      <top style="thin">
        <color theme="1"/>
      </top>
      <bottom style="medium">
        <color theme="0"/>
      </bottom>
      <diagonal/>
    </border>
    <border>
      <left/>
      <right style="medium">
        <color theme="0"/>
      </right>
      <top style="medium">
        <color theme="0"/>
      </top>
      <bottom style="thin">
        <color theme="1"/>
      </bottom>
      <diagonal/>
    </border>
    <border>
      <left style="medium">
        <color theme="0"/>
      </left>
      <right style="medium">
        <color theme="0"/>
      </right>
      <top style="medium">
        <color theme="0"/>
      </top>
      <bottom style="thin">
        <color theme="1"/>
      </bottom>
      <diagonal/>
    </border>
    <border>
      <left style="medium">
        <color theme="0"/>
      </left>
      <right/>
      <top style="medium">
        <color theme="0"/>
      </top>
      <bottom style="thin">
        <color theme="1"/>
      </bottom>
      <diagonal/>
    </border>
    <border>
      <left style="medium">
        <color theme="0"/>
      </left>
      <right style="medium">
        <color theme="0"/>
      </right>
      <top style="thin">
        <color theme="1"/>
      </top>
      <bottom style="thin">
        <color indexed="64"/>
      </bottom>
      <diagonal/>
    </border>
    <border>
      <left style="thin">
        <color indexed="60"/>
      </left>
      <right style="thin">
        <color indexed="60"/>
      </right>
      <top style="thin">
        <color indexed="60"/>
      </top>
      <bottom style="thin">
        <color indexed="60"/>
      </bottom>
      <diagonal/>
    </border>
    <border>
      <left style="thin">
        <color indexed="60"/>
      </left>
      <right/>
      <top style="thin">
        <color indexed="60"/>
      </top>
      <bottom style="thin">
        <color indexed="60"/>
      </bottom>
      <diagonal/>
    </border>
    <border>
      <left/>
      <right/>
      <top style="thin">
        <color indexed="60"/>
      </top>
      <bottom style="thin">
        <color indexed="60"/>
      </bottom>
      <diagonal/>
    </border>
    <border>
      <left/>
      <right style="thin">
        <color indexed="60"/>
      </right>
      <top style="thin">
        <color indexed="60"/>
      </top>
      <bottom style="thin">
        <color indexed="60"/>
      </bottom>
      <diagonal/>
    </border>
    <border>
      <left style="thin">
        <color indexed="60"/>
      </left>
      <right style="thin">
        <color indexed="60"/>
      </right>
      <top/>
      <bottom style="thin">
        <color indexed="60"/>
      </bottom>
      <diagonal/>
    </border>
  </borders>
  <cellStyleXfs count="35">
    <xf numFmtId="0" fontId="0" fillId="0" borderId="0"/>
    <xf numFmtId="0" fontId="1" fillId="0" borderId="0"/>
    <xf numFmtId="0" fontId="2" fillId="0" borderId="0" applyAlignment="0">
      <alignment horizontal="centerContinuous" vertical="center"/>
    </xf>
    <xf numFmtId="0" fontId="2" fillId="0" borderId="0" applyAlignment="0">
      <alignment horizontal="centerContinuous" vertical="center"/>
    </xf>
    <xf numFmtId="0" fontId="3" fillId="0" borderId="0" applyAlignment="0">
      <alignment horizontal="centerContinuous" vertical="center"/>
    </xf>
    <xf numFmtId="0" fontId="3" fillId="0" borderId="0" applyAlignment="0">
      <alignment horizontal="centerContinuous" vertical="center"/>
    </xf>
    <xf numFmtId="0" fontId="4" fillId="2" borderId="1">
      <alignment horizontal="right" vertical="center" wrapText="1"/>
    </xf>
    <xf numFmtId="1" fontId="5" fillId="2" borderId="2">
      <alignment horizontal="left" vertical="center" wrapText="1"/>
    </xf>
    <xf numFmtId="1" fontId="6" fillId="2" borderId="3">
      <alignment horizontal="center" vertical="center"/>
    </xf>
    <xf numFmtId="0" fontId="7" fillId="2" borderId="3">
      <alignment horizontal="center" vertical="center" wrapText="1"/>
    </xf>
    <xf numFmtId="0" fontId="8" fillId="2" borderId="3">
      <alignment horizontal="center" vertical="center" wrapText="1"/>
    </xf>
    <xf numFmtId="0" fontId="1" fillId="0" borderId="0">
      <alignment horizontal="center" vertical="center" readingOrder="2"/>
    </xf>
    <xf numFmtId="0" fontId="9" fillId="0" borderId="0">
      <alignment horizontal="left" vertical="center"/>
    </xf>
    <xf numFmtId="0" fontId="10" fillId="0" borderId="0">
      <alignment horizontal="right" vertical="center"/>
    </xf>
    <xf numFmtId="0" fontId="4" fillId="0" borderId="0">
      <alignment horizontal="right" vertical="center"/>
    </xf>
    <xf numFmtId="0" fontId="1" fillId="0" borderId="0">
      <alignment horizontal="left" vertical="center"/>
    </xf>
    <xf numFmtId="0" fontId="10" fillId="0" borderId="4">
      <alignment horizontal="right" vertical="center" indent="1"/>
    </xf>
    <xf numFmtId="0" fontId="4" fillId="2" borderId="4">
      <alignment horizontal="right" vertical="center" wrapText="1" indent="1" readingOrder="2"/>
    </xf>
    <xf numFmtId="0" fontId="11" fillId="0" borderId="4">
      <alignment horizontal="right" vertical="center" indent="1"/>
    </xf>
    <xf numFmtId="0" fontId="11" fillId="2" borderId="4">
      <alignment horizontal="left" vertical="center" wrapText="1" indent="1"/>
    </xf>
    <xf numFmtId="0" fontId="11" fillId="0" borderId="5">
      <alignment horizontal="left" vertical="center"/>
    </xf>
    <xf numFmtId="0" fontId="11" fillId="0" borderId="6">
      <alignment horizontal="left" vertical="center"/>
    </xf>
    <xf numFmtId="0" fontId="43" fillId="0" borderId="0">
      <alignment horizontal="left" vertical="center"/>
    </xf>
    <xf numFmtId="0" fontId="1" fillId="0" borderId="0">
      <alignment horizontal="left" vertical="center"/>
    </xf>
    <xf numFmtId="0" fontId="4" fillId="0" borderId="0">
      <alignment horizontal="right" vertical="center"/>
    </xf>
    <xf numFmtId="0" fontId="49" fillId="2" borderId="3" applyAlignment="0">
      <alignment horizontal="center" vertical="center"/>
    </xf>
    <xf numFmtId="0" fontId="4" fillId="2" borderId="1">
      <alignment horizontal="right" vertical="center" wrapText="1"/>
    </xf>
    <xf numFmtId="0" fontId="2" fillId="0" borderId="0" applyAlignment="0">
      <alignment horizontal="centerContinuous" vertical="center"/>
    </xf>
    <xf numFmtId="0" fontId="3" fillId="0" borderId="0" applyAlignment="0">
      <alignment horizontal="centerContinuous" vertical="center"/>
    </xf>
    <xf numFmtId="0" fontId="1" fillId="0" borderId="0"/>
    <xf numFmtId="0" fontId="1" fillId="0" borderId="0">
      <alignment horizontal="left" vertical="center"/>
    </xf>
    <xf numFmtId="0" fontId="1" fillId="0" borderId="0">
      <alignment horizontal="left" vertical="center"/>
    </xf>
    <xf numFmtId="0" fontId="4" fillId="2" borderId="4">
      <alignment horizontal="right" vertical="center" wrapText="1" indent="1" readingOrder="2"/>
    </xf>
    <xf numFmtId="0" fontId="1" fillId="0" borderId="0"/>
    <xf numFmtId="0" fontId="74" fillId="0" borderId="0" applyNumberFormat="0" applyFill="0" applyBorder="0" applyAlignment="0" applyProtection="0"/>
  </cellStyleXfs>
  <cellXfs count="1098">
    <xf numFmtId="0" fontId="0" fillId="0" borderId="0" xfId="0"/>
    <xf numFmtId="0" fontId="1" fillId="0" borderId="0" xfId="1"/>
    <xf numFmtId="0" fontId="1" fillId="0" borderId="0" xfId="1" applyFont="1"/>
    <xf numFmtId="0" fontId="12" fillId="0" borderId="0" xfId="1" applyFont="1" applyAlignment="1">
      <alignment vertical="center" readingOrder="2"/>
    </xf>
    <xf numFmtId="0" fontId="4" fillId="0" borderId="0" xfId="1" applyFont="1" applyAlignment="1">
      <alignment horizontal="right" vertical="center" readingOrder="2"/>
    </xf>
    <xf numFmtId="0" fontId="1" fillId="0" borderId="0" xfId="1" applyAlignment="1">
      <alignment vertical="center"/>
    </xf>
    <xf numFmtId="0" fontId="14" fillId="0" borderId="0" xfId="1" applyFont="1" applyAlignment="1">
      <alignment horizontal="left" vertical="center" readingOrder="1"/>
    </xf>
    <xf numFmtId="0" fontId="15" fillId="0" borderId="13" xfId="1" applyFont="1" applyFill="1" applyBorder="1" applyAlignment="1">
      <alignment horizontal="center" vertical="center" wrapText="1" readingOrder="2"/>
    </xf>
    <xf numFmtId="0" fontId="14" fillId="0" borderId="14" xfId="1" applyFont="1" applyFill="1" applyBorder="1" applyAlignment="1">
      <alignment horizontal="right" vertical="center" indent="1" readingOrder="1"/>
    </xf>
    <xf numFmtId="164" fontId="14" fillId="0" borderId="14" xfId="1" applyNumberFormat="1" applyFont="1" applyFill="1" applyBorder="1" applyAlignment="1">
      <alignment horizontal="right" vertical="center" indent="1" readingOrder="1"/>
    </xf>
    <xf numFmtId="0" fontId="17" fillId="0" borderId="15" xfId="1" applyFont="1" applyFill="1" applyBorder="1" applyAlignment="1">
      <alignment horizontal="center" vertical="center" wrapText="1" readingOrder="1"/>
    </xf>
    <xf numFmtId="0" fontId="15" fillId="3" borderId="16" xfId="1" applyFont="1" applyFill="1" applyBorder="1" applyAlignment="1">
      <alignment horizontal="center" vertical="center" wrapText="1" readingOrder="2"/>
    </xf>
    <xf numFmtId="164" fontId="14" fillId="3" borderId="17" xfId="1" applyNumberFormat="1" applyFont="1" applyFill="1" applyBorder="1" applyAlignment="1">
      <alignment horizontal="right" vertical="center" indent="1" readingOrder="1"/>
    </xf>
    <xf numFmtId="0" fontId="17" fillId="3" borderId="18" xfId="1" applyFont="1" applyFill="1" applyBorder="1" applyAlignment="1">
      <alignment horizontal="center" vertical="center" wrapText="1" readingOrder="1"/>
    </xf>
    <xf numFmtId="0" fontId="15" fillId="0" borderId="16" xfId="1" applyFont="1" applyFill="1" applyBorder="1" applyAlignment="1">
      <alignment horizontal="center" vertical="center" wrapText="1" readingOrder="2"/>
    </xf>
    <xf numFmtId="164" fontId="14" fillId="0" borderId="17" xfId="1" applyNumberFormat="1" applyFont="1" applyFill="1" applyBorder="1" applyAlignment="1">
      <alignment horizontal="right" vertical="center" indent="1" readingOrder="1"/>
    </xf>
    <xf numFmtId="0" fontId="17" fillId="0" borderId="18" xfId="1" applyFont="1" applyFill="1" applyBorder="1" applyAlignment="1">
      <alignment horizontal="center" vertical="center" wrapText="1" readingOrder="1"/>
    </xf>
    <xf numFmtId="0" fontId="15" fillId="0" borderId="19" xfId="1" applyFont="1" applyFill="1" applyBorder="1" applyAlignment="1">
      <alignment horizontal="center" vertical="center" wrapText="1" readingOrder="2"/>
    </xf>
    <xf numFmtId="164" fontId="14" fillId="0" borderId="20" xfId="1" applyNumberFormat="1" applyFont="1" applyFill="1" applyBorder="1" applyAlignment="1">
      <alignment horizontal="right" vertical="center" indent="1" readingOrder="1"/>
    </xf>
    <xf numFmtId="0" fontId="17" fillId="0" borderId="21" xfId="1" applyFont="1" applyFill="1" applyBorder="1" applyAlignment="1">
      <alignment horizontal="center" vertical="center" wrapText="1" readingOrder="1"/>
    </xf>
    <xf numFmtId="0" fontId="18" fillId="0" borderId="0" xfId="1" applyFont="1" applyBorder="1" applyAlignment="1">
      <alignment horizontal="center" vertical="top" wrapText="1" readingOrder="2"/>
    </xf>
    <xf numFmtId="0" fontId="1" fillId="0" borderId="0" xfId="1" applyBorder="1" applyAlignment="1">
      <alignment vertical="top" wrapText="1"/>
    </xf>
    <xf numFmtId="0" fontId="19" fillId="0" borderId="0" xfId="1" applyFont="1" applyBorder="1" applyAlignment="1">
      <alignment horizontal="center" vertical="top" wrapText="1" readingOrder="2"/>
    </xf>
    <xf numFmtId="0" fontId="20" fillId="0" borderId="0" xfId="1" applyFont="1" applyBorder="1" applyAlignment="1">
      <alignment horizontal="center" vertical="top" wrapText="1" readingOrder="2"/>
    </xf>
    <xf numFmtId="0" fontId="21" fillId="0" borderId="0" xfId="1" applyFont="1" applyBorder="1" applyAlignment="1">
      <alignment horizontal="center" vertical="top" wrapText="1" readingOrder="2"/>
    </xf>
    <xf numFmtId="0" fontId="14" fillId="0" borderId="0" xfId="1" applyFont="1" applyBorder="1" applyAlignment="1">
      <alignment horizontal="center" vertical="top" wrapText="1"/>
    </xf>
    <xf numFmtId="0" fontId="22" fillId="0" borderId="0" xfId="1" applyFont="1" applyBorder="1" applyAlignment="1">
      <alignment horizontal="justify" vertical="top" wrapText="1" readingOrder="2"/>
    </xf>
    <xf numFmtId="0" fontId="23" fillId="0" borderId="0" xfId="1" applyFont="1" applyBorder="1" applyAlignment="1">
      <alignment horizontal="center" vertical="top" wrapText="1" readingOrder="2"/>
    </xf>
    <xf numFmtId="0" fontId="16" fillId="0" borderId="0" xfId="1" applyFont="1" applyBorder="1" applyAlignment="1">
      <alignment horizontal="left" vertical="top" wrapText="1" readingOrder="1"/>
    </xf>
    <xf numFmtId="0" fontId="4" fillId="0" borderId="0" xfId="1" applyFont="1" applyBorder="1" applyAlignment="1">
      <alignment horizontal="justify" vertical="top" wrapText="1" readingOrder="2"/>
    </xf>
    <xf numFmtId="0" fontId="16" fillId="0" borderId="0" xfId="1" applyFont="1" applyBorder="1" applyAlignment="1">
      <alignment horizontal="left" vertical="top" wrapText="1" readingOrder="2"/>
    </xf>
    <xf numFmtId="0" fontId="17" fillId="0" borderId="0" xfId="1" applyFont="1" applyBorder="1" applyAlignment="1">
      <alignment horizontal="left" vertical="top" wrapText="1" readingOrder="1"/>
    </xf>
    <xf numFmtId="0" fontId="13" fillId="0" borderId="0" xfId="1" applyFont="1" applyBorder="1" applyAlignment="1">
      <alignment horizontal="justify" vertical="top" wrapText="1" readingOrder="2"/>
    </xf>
    <xf numFmtId="0" fontId="24" fillId="0" borderId="0" xfId="1" applyFont="1" applyBorder="1" applyAlignment="1">
      <alignment horizontal="center" vertical="center" wrapText="1" readingOrder="2"/>
    </xf>
    <xf numFmtId="0" fontId="25" fillId="0" borderId="0" xfId="1" applyFont="1" applyBorder="1" applyAlignment="1">
      <alignment horizontal="center" vertical="center" wrapText="1" readingOrder="2"/>
    </xf>
    <xf numFmtId="0" fontId="2" fillId="0" borderId="0" xfId="1" applyFont="1" applyBorder="1" applyAlignment="1">
      <alignment horizontal="center" vertical="center" wrapText="1" readingOrder="2"/>
    </xf>
    <xf numFmtId="0" fontId="1" fillId="0" borderId="0" xfId="1" applyAlignment="1">
      <alignment vertical="center" readingOrder="1"/>
    </xf>
    <xf numFmtId="49" fontId="1" fillId="0" borderId="0" xfId="1" applyNumberFormat="1" applyAlignment="1">
      <alignment vertical="center" readingOrder="1"/>
    </xf>
    <xf numFmtId="49" fontId="1" fillId="0" borderId="0" xfId="1" applyNumberFormat="1" applyAlignment="1">
      <alignment vertical="center"/>
    </xf>
    <xf numFmtId="0" fontId="1" fillId="0" borderId="0" xfId="1" applyBorder="1" applyAlignment="1">
      <alignment vertical="center"/>
    </xf>
    <xf numFmtId="0" fontId="5" fillId="0" borderId="25" xfId="1" applyFont="1" applyBorder="1" applyAlignment="1">
      <alignment horizontal="center" vertical="top" wrapText="1" readingOrder="1"/>
    </xf>
    <xf numFmtId="49" fontId="5" fillId="0" borderId="25" xfId="1" applyNumberFormat="1" applyFont="1" applyBorder="1" applyAlignment="1">
      <alignment horizontal="center" vertical="top" wrapText="1" readingOrder="1"/>
    </xf>
    <xf numFmtId="16" fontId="29" fillId="0" borderId="25" xfId="1" applyNumberFormat="1" applyFont="1" applyBorder="1" applyAlignment="1">
      <alignment horizontal="center" vertical="top" wrapText="1" readingOrder="1"/>
    </xf>
    <xf numFmtId="49" fontId="29" fillId="0" borderId="25" xfId="1" applyNumberFormat="1" applyFont="1" applyBorder="1" applyAlignment="1">
      <alignment horizontal="center" vertical="top" wrapText="1" readingOrder="1"/>
    </xf>
    <xf numFmtId="0" fontId="31" fillId="0" borderId="25" xfId="1" applyFont="1" applyBorder="1" applyAlignment="1">
      <alignment horizontal="center" vertical="center" wrapText="1" readingOrder="1"/>
    </xf>
    <xf numFmtId="49" fontId="31" fillId="0" borderId="25" xfId="1" applyNumberFormat="1" applyFont="1" applyBorder="1" applyAlignment="1">
      <alignment vertical="center" wrapText="1" readingOrder="1"/>
    </xf>
    <xf numFmtId="0" fontId="27" fillId="0" borderId="25" xfId="1" applyFont="1" applyBorder="1" applyAlignment="1">
      <alignment horizontal="center" vertical="center" wrapText="1" readingOrder="1"/>
    </xf>
    <xf numFmtId="49" fontId="27" fillId="0" borderId="25" xfId="1" applyNumberFormat="1" applyFont="1" applyBorder="1" applyAlignment="1">
      <alignment vertical="center" wrapText="1" readingOrder="1"/>
    </xf>
    <xf numFmtId="49" fontId="13" fillId="0" borderId="0" xfId="1" applyNumberFormat="1" applyFont="1" applyAlignment="1">
      <alignment vertical="center" readingOrder="1"/>
    </xf>
    <xf numFmtId="0" fontId="13" fillId="0" borderId="0" xfId="1" applyFont="1" applyAlignment="1">
      <alignment vertical="center" readingOrder="1"/>
    </xf>
    <xf numFmtId="0" fontId="20" fillId="0" borderId="0" xfId="1" applyFont="1" applyAlignment="1">
      <alignment horizontal="center" vertical="center" readingOrder="2"/>
    </xf>
    <xf numFmtId="0" fontId="34" fillId="0" borderId="0" xfId="1" applyFont="1" applyBorder="1" applyAlignment="1">
      <alignment horizontal="center" vertical="center" wrapText="1" readingOrder="2"/>
    </xf>
    <xf numFmtId="0" fontId="13" fillId="0" borderId="0" xfId="1" applyFont="1" applyBorder="1" applyAlignment="1">
      <alignment horizontal="left" vertical="top" wrapText="1" readingOrder="1"/>
    </xf>
    <xf numFmtId="0" fontId="17" fillId="0" borderId="0" xfId="1" applyFont="1" applyAlignment="1">
      <alignment vertical="center" wrapText="1"/>
    </xf>
    <xf numFmtId="0" fontId="13" fillId="0" borderId="0" xfId="1" applyFont="1" applyFill="1" applyBorder="1" applyAlignment="1">
      <alignment horizontal="right" vertical="center" wrapText="1" readingOrder="2"/>
    </xf>
    <xf numFmtId="0" fontId="13" fillId="0" borderId="0" xfId="1" applyFont="1" applyAlignment="1">
      <alignment horizontal="right" vertical="center" wrapText="1" readingOrder="2"/>
    </xf>
    <xf numFmtId="49" fontId="15" fillId="0" borderId="0" xfId="1" applyNumberFormat="1" applyFont="1" applyAlignment="1">
      <alignment vertical="top" readingOrder="1"/>
    </xf>
    <xf numFmtId="49" fontId="13" fillId="0" borderId="0" xfId="1" applyNumberFormat="1" applyFont="1" applyAlignment="1">
      <alignment vertical="top" readingOrder="2"/>
    </xf>
    <xf numFmtId="0" fontId="13" fillId="0" borderId="0" xfId="1" applyFont="1" applyFill="1" applyBorder="1" applyAlignment="1">
      <alignment vertical="top" wrapText="1" readingOrder="2"/>
    </xf>
    <xf numFmtId="0" fontId="13" fillId="0" borderId="0" xfId="1" applyFont="1" applyBorder="1" applyAlignment="1">
      <alignment vertical="top" wrapText="1" readingOrder="2"/>
    </xf>
    <xf numFmtId="0" fontId="17" fillId="0" borderId="0" xfId="1" applyFont="1" applyAlignment="1">
      <alignment vertical="top" wrapText="1"/>
    </xf>
    <xf numFmtId="0" fontId="13" fillId="0" borderId="0" xfId="1" applyFont="1" applyFill="1" applyBorder="1" applyAlignment="1">
      <alignment horizontal="right" vertical="top" wrapText="1" readingOrder="2"/>
    </xf>
    <xf numFmtId="0" fontId="13" fillId="0" borderId="0" xfId="1" applyFont="1" applyBorder="1" applyAlignment="1">
      <alignment horizontal="right" vertical="top" wrapText="1" readingOrder="2"/>
    </xf>
    <xf numFmtId="0" fontId="12" fillId="0" borderId="0" xfId="1" applyFont="1" applyBorder="1" applyAlignment="1">
      <alignment horizontal="center" vertical="center" wrapText="1" readingOrder="2"/>
    </xf>
    <xf numFmtId="0" fontId="35" fillId="0" borderId="0" xfId="1" applyFont="1" applyFill="1" applyBorder="1" applyAlignment="1">
      <alignment vertical="center" wrapText="1" readingOrder="2"/>
    </xf>
    <xf numFmtId="0" fontId="4" fillId="0" borderId="0" xfId="1" applyFont="1" applyAlignment="1">
      <alignment horizontal="right" wrapText="1" readingOrder="2"/>
    </xf>
    <xf numFmtId="0" fontId="1" fillId="0" borderId="0" xfId="1" applyFont="1" applyAlignment="1">
      <alignment horizontal="left" wrapText="1" readingOrder="1"/>
    </xf>
    <xf numFmtId="0" fontId="17" fillId="0" borderId="0" xfId="1" applyFont="1" applyAlignment="1">
      <alignment horizontal="left" wrapText="1" readingOrder="1"/>
    </xf>
    <xf numFmtId="0" fontId="1" fillId="0" borderId="0" xfId="1" applyFont="1" applyAlignment="1">
      <alignment vertical="center"/>
    </xf>
    <xf numFmtId="0" fontId="16" fillId="0" borderId="0" xfId="1" applyFont="1" applyBorder="1" applyAlignment="1">
      <alignment horizontal="left" vertical="center" wrapText="1" readingOrder="1"/>
    </xf>
    <xf numFmtId="0" fontId="1" fillId="0" borderId="0" xfId="1" applyFont="1" applyAlignment="1">
      <alignment vertical="top" wrapText="1" readingOrder="1"/>
    </xf>
    <xf numFmtId="0" fontId="4" fillId="0" borderId="0" xfId="1" applyFont="1" applyAlignment="1">
      <alignment vertical="top" wrapText="1" readingOrder="2"/>
    </xf>
    <xf numFmtId="0" fontId="4" fillId="0" borderId="0" xfId="1" applyFont="1" applyBorder="1" applyAlignment="1">
      <alignment horizontal="center" vertical="center" wrapText="1" readingOrder="2"/>
    </xf>
    <xf numFmtId="164" fontId="1" fillId="0" borderId="0" xfId="1" applyNumberFormat="1"/>
    <xf numFmtId="0" fontId="1" fillId="0" borderId="0" xfId="1" applyAlignment="1">
      <alignment wrapText="1"/>
    </xf>
    <xf numFmtId="0" fontId="14" fillId="3" borderId="12" xfId="17" applyFont="1" applyFill="1" applyBorder="1" applyAlignment="1">
      <alignment horizontal="center" vertical="center" wrapText="1" readingOrder="1"/>
    </xf>
    <xf numFmtId="0" fontId="4" fillId="3" borderId="10" xfId="17" applyFont="1" applyFill="1" applyBorder="1" applyAlignment="1">
      <alignment horizontal="center" vertical="center" wrapText="1" readingOrder="2"/>
    </xf>
    <xf numFmtId="0" fontId="14" fillId="0" borderId="18" xfId="17" applyFont="1" applyFill="1" applyBorder="1" applyAlignment="1">
      <alignment horizontal="center" vertical="center" wrapText="1" readingOrder="1"/>
    </xf>
    <xf numFmtId="0" fontId="4" fillId="0" borderId="16" xfId="17" applyFont="1" applyFill="1" applyBorder="1" applyAlignment="1">
      <alignment horizontal="center" vertical="center" wrapText="1" readingOrder="2"/>
    </xf>
    <xf numFmtId="0" fontId="14" fillId="3" borderId="18" xfId="17" applyFont="1" applyFill="1" applyBorder="1" applyAlignment="1">
      <alignment horizontal="center" vertical="center" wrapText="1" readingOrder="1"/>
    </xf>
    <xf numFmtId="3" fontId="14" fillId="3" borderId="17" xfId="1" applyNumberFormat="1" applyFont="1" applyFill="1" applyBorder="1" applyAlignment="1">
      <alignment horizontal="right" vertical="center" indent="1" readingOrder="1"/>
    </xf>
    <xf numFmtId="0" fontId="4" fillId="3" borderId="16" xfId="17" applyFont="1" applyFill="1" applyBorder="1" applyAlignment="1">
      <alignment horizontal="center" vertical="center" wrapText="1" readingOrder="2"/>
    </xf>
    <xf numFmtId="0" fontId="14" fillId="0" borderId="15" xfId="17" applyFont="1" applyFill="1" applyBorder="1" applyAlignment="1">
      <alignment horizontal="center" vertical="center" wrapText="1" readingOrder="1"/>
    </xf>
    <xf numFmtId="3" fontId="14" fillId="0" borderId="14" xfId="1" applyNumberFormat="1" applyFont="1" applyFill="1" applyBorder="1" applyAlignment="1">
      <alignment horizontal="right" vertical="center" indent="1" readingOrder="1"/>
    </xf>
    <xf numFmtId="3" fontId="1" fillId="0" borderId="14" xfId="1" applyNumberFormat="1" applyFont="1" applyFill="1" applyBorder="1" applyAlignment="1">
      <alignment horizontal="right" vertical="center" indent="1" readingOrder="1"/>
    </xf>
    <xf numFmtId="0" fontId="4" fillId="0" borderId="13" xfId="17" applyFont="1" applyFill="1" applyBorder="1" applyAlignment="1">
      <alignment horizontal="center" vertical="center" wrapText="1" readingOrder="2"/>
    </xf>
    <xf numFmtId="0" fontId="7" fillId="3" borderId="23" xfId="1" applyFont="1" applyFill="1" applyBorder="1" applyAlignment="1">
      <alignment horizontal="center" vertical="center" wrapText="1" readingOrder="1"/>
    </xf>
    <xf numFmtId="0" fontId="3" fillId="0" borderId="0" xfId="4" applyAlignment="1">
      <alignment readingOrder="1"/>
    </xf>
    <xf numFmtId="164" fontId="1" fillId="3" borderId="11" xfId="18" applyNumberFormat="1" applyFont="1" applyFill="1" applyBorder="1">
      <alignment horizontal="right" vertical="center" indent="1"/>
    </xf>
    <xf numFmtId="164" fontId="1" fillId="0" borderId="17" xfId="18" applyNumberFormat="1" applyFont="1" applyFill="1" applyBorder="1">
      <alignment horizontal="right" vertical="center" indent="1"/>
    </xf>
    <xf numFmtId="164" fontId="1" fillId="3" borderId="17" xfId="18" applyNumberFormat="1" applyFont="1" applyFill="1" applyBorder="1">
      <alignment horizontal="right" vertical="center" indent="1"/>
    </xf>
    <xf numFmtId="0" fontId="14" fillId="0" borderId="9" xfId="17" applyFont="1" applyFill="1" applyBorder="1" applyAlignment="1">
      <alignment horizontal="center" vertical="center" wrapText="1" readingOrder="1"/>
    </xf>
    <xf numFmtId="0" fontId="4" fillId="0" borderId="7" xfId="17" applyFont="1" applyFill="1" applyBorder="1" applyAlignment="1">
      <alignment horizontal="center" vertical="center" wrapText="1" readingOrder="2"/>
    </xf>
    <xf numFmtId="0" fontId="14" fillId="0" borderId="0" xfId="1" applyFont="1"/>
    <xf numFmtId="0" fontId="4" fillId="0" borderId="0" xfId="14" applyFont="1" applyAlignment="1">
      <alignment vertical="center"/>
    </xf>
    <xf numFmtId="3" fontId="1" fillId="0" borderId="17" xfId="18" applyNumberFormat="1" applyFont="1" applyFill="1" applyBorder="1">
      <alignment horizontal="right" vertical="center" indent="1"/>
    </xf>
    <xf numFmtId="3" fontId="1" fillId="3" borderId="17" xfId="18" applyNumberFormat="1" applyFont="1" applyFill="1" applyBorder="1">
      <alignment horizontal="right" vertical="center" indent="1"/>
    </xf>
    <xf numFmtId="3" fontId="1" fillId="0" borderId="14" xfId="18" applyNumberFormat="1" applyFont="1" applyFill="1" applyBorder="1">
      <alignment horizontal="right" vertical="center" indent="1"/>
    </xf>
    <xf numFmtId="0" fontId="7" fillId="3" borderId="30" xfId="1" applyFont="1" applyFill="1" applyBorder="1" applyAlignment="1">
      <alignment horizontal="center" wrapText="1" readingOrder="2"/>
    </xf>
    <xf numFmtId="0" fontId="7" fillId="3" borderId="30" xfId="1" applyFont="1" applyFill="1" applyBorder="1" applyAlignment="1">
      <alignment horizontal="center" wrapText="1" readingOrder="1"/>
    </xf>
    <xf numFmtId="164" fontId="1" fillId="0" borderId="17" xfId="16" applyNumberFormat="1" applyFont="1" applyFill="1" applyBorder="1">
      <alignment horizontal="right" vertical="center" indent="1"/>
    </xf>
    <xf numFmtId="164" fontId="1" fillId="3" borderId="17" xfId="16" applyNumberFormat="1" applyFont="1" applyFill="1" applyBorder="1">
      <alignment horizontal="right" vertical="center" indent="1"/>
    </xf>
    <xf numFmtId="0" fontId="4" fillId="0" borderId="0" xfId="14" applyAlignment="1">
      <alignment vertical="center"/>
    </xf>
    <xf numFmtId="0" fontId="14" fillId="0" borderId="24" xfId="17" applyFont="1" applyFill="1" applyBorder="1" applyAlignment="1">
      <alignment horizontal="center" vertical="center" wrapText="1" readingOrder="1"/>
    </xf>
    <xf numFmtId="0" fontId="1" fillId="3" borderId="21" xfId="17" applyFont="1" applyFill="1" applyBorder="1" applyAlignment="1">
      <alignment horizontal="left" vertical="center" wrapText="1" indent="1" readingOrder="1"/>
    </xf>
    <xf numFmtId="0" fontId="4" fillId="3" borderId="19" xfId="17" applyFont="1" applyFill="1" applyBorder="1" applyAlignment="1">
      <alignment horizontal="right" vertical="center" wrapText="1" indent="1" readingOrder="2"/>
    </xf>
    <xf numFmtId="0" fontId="1" fillId="0" borderId="18" xfId="17" applyFont="1" applyFill="1" applyBorder="1" applyAlignment="1">
      <alignment horizontal="left" vertical="center" wrapText="1" indent="1" readingOrder="1"/>
    </xf>
    <xf numFmtId="0" fontId="1" fillId="3" borderId="18" xfId="17" applyFont="1" applyFill="1" applyBorder="1" applyAlignment="1">
      <alignment horizontal="left" vertical="center" wrapText="1" indent="1" readingOrder="1"/>
    </xf>
    <xf numFmtId="0" fontId="4" fillId="3" borderId="16" xfId="17" applyFont="1" applyFill="1" applyBorder="1" applyAlignment="1">
      <alignment horizontal="right" vertical="center" wrapText="1" indent="1" readingOrder="2"/>
    </xf>
    <xf numFmtId="0" fontId="1" fillId="0" borderId="15" xfId="17" applyFont="1" applyFill="1" applyBorder="1" applyAlignment="1">
      <alignment horizontal="left" vertical="center" wrapText="1" indent="1" readingOrder="1"/>
    </xf>
    <xf numFmtId="0" fontId="1" fillId="0" borderId="32" xfId="1" applyBorder="1" applyAlignment="1">
      <alignment wrapText="1"/>
    </xf>
    <xf numFmtId="0" fontId="1" fillId="0" borderId="33" xfId="1" applyBorder="1" applyAlignment="1">
      <alignment wrapText="1"/>
    </xf>
    <xf numFmtId="164" fontId="14" fillId="0" borderId="23" xfId="17" applyNumberFormat="1" applyFont="1" applyFill="1" applyBorder="1" applyAlignment="1">
      <alignment horizontal="left" vertical="center" wrapText="1" indent="1" readingOrder="1"/>
    </xf>
    <xf numFmtId="0" fontId="4" fillId="0" borderId="22" xfId="17" applyFont="1" applyFill="1" applyBorder="1" applyAlignment="1">
      <alignment horizontal="center" vertical="center" wrapText="1" readingOrder="2"/>
    </xf>
    <xf numFmtId="164" fontId="14" fillId="3" borderId="20" xfId="18" applyNumberFormat="1" applyFont="1" applyFill="1" applyBorder="1">
      <alignment horizontal="right" vertical="center" indent="1"/>
    </xf>
    <xf numFmtId="164" fontId="14" fillId="0" borderId="17" xfId="18" applyNumberFormat="1" applyFont="1" applyFill="1" applyBorder="1">
      <alignment horizontal="right" vertical="center" indent="1"/>
    </xf>
    <xf numFmtId="164" fontId="14" fillId="3" borderId="17" xfId="18" applyNumberFormat="1" applyFont="1" applyFill="1" applyBorder="1">
      <alignment horizontal="right" vertical="center" indent="1"/>
    </xf>
    <xf numFmtId="164" fontId="14" fillId="0" borderId="14" xfId="18" applyNumberFormat="1" applyFont="1" applyFill="1" applyBorder="1">
      <alignment horizontal="right" vertical="center" indent="1"/>
    </xf>
    <xf numFmtId="3" fontId="14" fillId="0" borderId="14" xfId="18" applyNumberFormat="1" applyFont="1" applyFill="1" applyBorder="1">
      <alignment horizontal="right" vertical="center" indent="1"/>
    </xf>
    <xf numFmtId="3" fontId="14" fillId="3" borderId="20" xfId="1" applyNumberFormat="1" applyFont="1" applyFill="1" applyBorder="1" applyAlignment="1">
      <alignment horizontal="right" vertical="center" indent="1" readingOrder="1"/>
    </xf>
    <xf numFmtId="0" fontId="15" fillId="3" borderId="19" xfId="1" applyFont="1" applyFill="1" applyBorder="1" applyAlignment="1">
      <alignment horizontal="right" vertical="center" wrapText="1" indent="1" readingOrder="2"/>
    </xf>
    <xf numFmtId="0" fontId="15" fillId="0" borderId="16" xfId="1" applyFont="1" applyFill="1" applyBorder="1" applyAlignment="1">
      <alignment horizontal="right" vertical="center" wrapText="1" indent="1" readingOrder="2"/>
    </xf>
    <xf numFmtId="0" fontId="15" fillId="3" borderId="16" xfId="1" applyFont="1" applyFill="1" applyBorder="1" applyAlignment="1">
      <alignment horizontal="right" vertical="center" wrapText="1" indent="1" readingOrder="2"/>
    </xf>
    <xf numFmtId="0" fontId="15" fillId="0" borderId="13" xfId="1" applyFont="1" applyFill="1" applyBorder="1" applyAlignment="1">
      <alignment horizontal="right" vertical="center" wrapText="1" indent="1" readingOrder="2"/>
    </xf>
    <xf numFmtId="0" fontId="14" fillId="0" borderId="0" xfId="1" applyFont="1" applyAlignment="1">
      <alignment vertical="center"/>
    </xf>
    <xf numFmtId="0" fontId="4" fillId="0" borderId="0" xfId="4" applyFont="1" applyAlignment="1">
      <alignment vertical="top" wrapText="1"/>
    </xf>
    <xf numFmtId="0" fontId="4" fillId="0" borderId="0" xfId="4" applyFont="1" applyAlignment="1"/>
    <xf numFmtId="0" fontId="12" fillId="0" borderId="0" xfId="2" applyFont="1" applyAlignment="1"/>
    <xf numFmtId="0" fontId="17" fillId="3" borderId="21" xfId="1" applyFont="1" applyFill="1" applyBorder="1" applyAlignment="1">
      <alignment horizontal="center" vertical="center" wrapText="1" readingOrder="1"/>
    </xf>
    <xf numFmtId="164" fontId="14" fillId="3" borderId="20" xfId="1" applyNumberFormat="1" applyFont="1" applyFill="1" applyBorder="1" applyAlignment="1">
      <alignment horizontal="right" vertical="center" indent="1" readingOrder="1"/>
    </xf>
    <xf numFmtId="0" fontId="1" fillId="3" borderId="21" xfId="1" applyFont="1" applyFill="1" applyBorder="1" applyAlignment="1">
      <alignment horizontal="left" vertical="center" wrapText="1" indent="1" readingOrder="1"/>
    </xf>
    <xf numFmtId="0" fontId="1" fillId="0" borderId="18" xfId="1" applyFont="1" applyFill="1" applyBorder="1" applyAlignment="1">
      <alignment horizontal="left" vertical="center" wrapText="1" indent="1" readingOrder="1"/>
    </xf>
    <xf numFmtId="0" fontId="1" fillId="3" borderId="18" xfId="1" applyFont="1" applyFill="1" applyBorder="1" applyAlignment="1">
      <alignment horizontal="left" vertical="center" wrapText="1" indent="1" readingOrder="1"/>
    </xf>
    <xf numFmtId="0" fontId="1" fillId="0" borderId="15" xfId="1" applyFont="1" applyFill="1" applyBorder="1" applyAlignment="1">
      <alignment horizontal="left" vertical="center" wrapText="1" indent="1" readingOrder="1"/>
    </xf>
    <xf numFmtId="0" fontId="43" fillId="0" borderId="0" xfId="22">
      <alignment horizontal="left" vertical="center"/>
    </xf>
    <xf numFmtId="0" fontId="10" fillId="0" borderId="0" xfId="13" applyAlignment="1">
      <alignment horizontal="right" vertical="center" readingOrder="2"/>
    </xf>
    <xf numFmtId="0" fontId="44" fillId="3" borderId="31" xfId="1" applyFont="1" applyFill="1" applyBorder="1" applyAlignment="1">
      <alignment horizontal="center" vertical="top" wrapText="1" readingOrder="2"/>
    </xf>
    <xf numFmtId="0" fontId="15" fillId="4" borderId="20" xfId="1" applyFont="1" applyFill="1" applyBorder="1" applyAlignment="1">
      <alignment vertical="center" wrapText="1" readingOrder="2"/>
    </xf>
    <xf numFmtId="0" fontId="47" fillId="5" borderId="17" xfId="1" applyFont="1" applyFill="1" applyBorder="1" applyAlignment="1">
      <alignment horizontal="center" vertical="center" wrapText="1"/>
    </xf>
    <xf numFmtId="0" fontId="14" fillId="0" borderId="24" xfId="17" applyFont="1" applyFill="1" applyBorder="1" applyAlignment="1">
      <alignment horizontal="left" vertical="center" wrapText="1" indent="1" readingOrder="1"/>
    </xf>
    <xf numFmtId="2" fontId="4" fillId="0" borderId="22" xfId="17" applyNumberFormat="1" applyFont="1" applyFill="1" applyBorder="1" applyAlignment="1">
      <alignment horizontal="right" vertical="center" wrapText="1" indent="1" readingOrder="2"/>
    </xf>
    <xf numFmtId="2" fontId="4" fillId="3" borderId="19" xfId="17" applyNumberFormat="1" applyFont="1" applyFill="1" applyBorder="1" applyAlignment="1">
      <alignment horizontal="right" vertical="center" wrapText="1" indent="1" readingOrder="2"/>
    </xf>
    <xf numFmtId="2" fontId="4" fillId="0" borderId="16" xfId="17" applyNumberFormat="1" applyFont="1" applyFill="1" applyBorder="1" applyAlignment="1">
      <alignment horizontal="right" vertical="center" wrapText="1" indent="1" readingOrder="2"/>
    </xf>
    <xf numFmtId="2" fontId="4" fillId="3" borderId="16" xfId="17" applyNumberFormat="1" applyFont="1" applyFill="1" applyBorder="1" applyAlignment="1">
      <alignment horizontal="right" vertical="center" wrapText="1" indent="1" readingOrder="2"/>
    </xf>
    <xf numFmtId="2" fontId="4" fillId="0" borderId="13" xfId="17" applyNumberFormat="1" applyFont="1" applyFill="1" applyBorder="1" applyAlignment="1">
      <alignment horizontal="right" vertical="center" wrapText="1" indent="1" readingOrder="2"/>
    </xf>
    <xf numFmtId="164" fontId="14" fillId="0" borderId="23" xfId="17" applyNumberFormat="1" applyFont="1" applyFill="1" applyBorder="1" applyAlignment="1">
      <alignment horizontal="left" vertical="center" wrapText="1" indent="1"/>
    </xf>
    <xf numFmtId="0" fontId="14" fillId="3" borderId="21" xfId="17" applyFont="1" applyFill="1" applyBorder="1" applyAlignment="1">
      <alignment horizontal="center" vertical="center" wrapText="1" readingOrder="1"/>
    </xf>
    <xf numFmtId="0" fontId="4" fillId="3" borderId="19" xfId="17" applyFont="1" applyFill="1" applyBorder="1" applyAlignment="1">
      <alignment horizontal="center" vertical="center" wrapText="1" readingOrder="2"/>
    </xf>
    <xf numFmtId="0" fontId="14" fillId="3" borderId="24" xfId="17" applyFont="1" applyFill="1" applyBorder="1" applyAlignment="1">
      <alignment horizontal="center" vertical="center" wrapText="1" readingOrder="1"/>
    </xf>
    <xf numFmtId="164" fontId="14" fillId="3" borderId="23" xfId="17" applyNumberFormat="1" applyFont="1" applyFill="1" applyBorder="1" applyAlignment="1">
      <alignment horizontal="left" vertical="center" wrapText="1" indent="1"/>
    </xf>
    <xf numFmtId="0" fontId="4" fillId="3" borderId="22" xfId="17" applyFont="1" applyFill="1" applyBorder="1" applyAlignment="1">
      <alignment horizontal="center" vertical="center" wrapText="1" readingOrder="2"/>
    </xf>
    <xf numFmtId="0" fontId="48" fillId="0" borderId="0" xfId="1" applyFont="1" applyAlignment="1">
      <alignment horizontal="right" readingOrder="2"/>
    </xf>
    <xf numFmtId="0" fontId="1" fillId="0" borderId="14" xfId="1" applyFont="1" applyFill="1" applyBorder="1" applyAlignment="1">
      <alignment horizontal="right" vertical="center" indent="1" readingOrder="1"/>
    </xf>
    <xf numFmtId="0" fontId="1" fillId="0" borderId="37" xfId="1" applyBorder="1"/>
    <xf numFmtId="0" fontId="1" fillId="0" borderId="38" xfId="1" applyBorder="1"/>
    <xf numFmtId="0" fontId="1" fillId="0" borderId="39" xfId="1" applyBorder="1"/>
    <xf numFmtId="164" fontId="14" fillId="0" borderId="41" xfId="1" applyNumberFormat="1" applyFont="1" applyFill="1" applyBorder="1" applyAlignment="1">
      <alignment horizontal="right" vertical="center" indent="1" readingOrder="1"/>
    </xf>
    <xf numFmtId="0" fontId="15" fillId="4" borderId="18" xfId="1" applyFont="1" applyFill="1" applyBorder="1" applyAlignment="1">
      <alignment horizontal="center" vertical="center" wrapText="1" readingOrder="2"/>
    </xf>
    <xf numFmtId="0" fontId="1" fillId="0" borderId="0" xfId="1" applyAlignment="1">
      <alignment wrapText="1" readingOrder="1"/>
    </xf>
    <xf numFmtId="0" fontId="14" fillId="0" borderId="0" xfId="1" applyFont="1" applyAlignment="1">
      <alignment horizontal="right" readingOrder="2"/>
    </xf>
    <xf numFmtId="49" fontId="1" fillId="0" borderId="0" xfId="1" applyNumberFormat="1"/>
    <xf numFmtId="49" fontId="14" fillId="0" borderId="15" xfId="17" applyNumberFormat="1" applyFont="1" applyFill="1" applyBorder="1" applyAlignment="1">
      <alignment horizontal="center" vertical="center" wrapText="1" readingOrder="1"/>
    </xf>
    <xf numFmtId="49" fontId="4" fillId="0" borderId="13" xfId="17" applyNumberFormat="1" applyFont="1" applyFill="1" applyBorder="1" applyAlignment="1">
      <alignment horizontal="center" vertical="center" wrapText="1" readingOrder="2"/>
    </xf>
    <xf numFmtId="49" fontId="14" fillId="0" borderId="0" xfId="1" applyNumberFormat="1" applyFont="1" applyAlignment="1">
      <alignment horizontal="left" vertical="center" readingOrder="1"/>
    </xf>
    <xf numFmtId="49" fontId="4" fillId="0" borderId="0" xfId="1" applyNumberFormat="1" applyFont="1" applyAlignment="1">
      <alignment horizontal="right" vertical="center" readingOrder="2"/>
    </xf>
    <xf numFmtId="0" fontId="50" fillId="0" borderId="0" xfId="1" applyFont="1" applyAlignment="1">
      <alignment vertical="center" wrapText="1" readingOrder="2"/>
    </xf>
    <xf numFmtId="0" fontId="26" fillId="0" borderId="0" xfId="1" applyFont="1" applyAlignment="1">
      <alignment horizontal="right" vertical="center" readingOrder="2"/>
    </xf>
    <xf numFmtId="0" fontId="46" fillId="3" borderId="43" xfId="1" applyFont="1" applyFill="1" applyBorder="1" applyAlignment="1">
      <alignment horizontal="left" vertical="center" wrapText="1" readingOrder="1"/>
    </xf>
    <xf numFmtId="0" fontId="28" fillId="3" borderId="43" xfId="1" applyFont="1" applyFill="1" applyBorder="1" applyAlignment="1">
      <alignment horizontal="center" vertical="center" wrapText="1" readingOrder="1"/>
    </xf>
    <xf numFmtId="0" fontId="1" fillId="3" borderId="43" xfId="1" applyFont="1" applyFill="1" applyBorder="1" applyAlignment="1">
      <alignment horizontal="left" vertical="center" wrapText="1" readingOrder="1"/>
    </xf>
    <xf numFmtId="0" fontId="50" fillId="3" borderId="43" xfId="1" applyFont="1" applyFill="1" applyBorder="1" applyAlignment="1">
      <alignment horizontal="right" vertical="center" wrapText="1" readingOrder="2"/>
    </xf>
    <xf numFmtId="0" fontId="4" fillId="0" borderId="44" xfId="17" applyFont="1" applyFill="1" applyBorder="1" applyAlignment="1">
      <alignment horizontal="center" vertical="center" wrapText="1" readingOrder="2"/>
    </xf>
    <xf numFmtId="3" fontId="14" fillId="0" borderId="31" xfId="1" applyNumberFormat="1" applyFont="1" applyFill="1" applyBorder="1" applyAlignment="1">
      <alignment horizontal="right" vertical="center" indent="1" readingOrder="1"/>
    </xf>
    <xf numFmtId="0" fontId="14" fillId="0" borderId="45" xfId="17" applyFont="1" applyFill="1" applyBorder="1" applyAlignment="1">
      <alignment horizontal="center" vertical="center" wrapText="1" readingOrder="1"/>
    </xf>
    <xf numFmtId="0" fontId="0" fillId="0" borderId="0" xfId="0" applyAlignment="1">
      <alignment horizontal="center"/>
    </xf>
    <xf numFmtId="0" fontId="1" fillId="6" borderId="0" xfId="1" applyFill="1"/>
    <xf numFmtId="0" fontId="1" fillId="0" borderId="0" xfId="1" applyBorder="1" applyAlignment="1">
      <alignment wrapText="1"/>
    </xf>
    <xf numFmtId="3" fontId="14" fillId="0" borderId="31" xfId="17" applyNumberFormat="1" applyFont="1" applyFill="1" applyBorder="1" applyAlignment="1">
      <alignment horizontal="left" vertical="center" wrapText="1" indent="1" readingOrder="1"/>
    </xf>
    <xf numFmtId="0" fontId="4" fillId="0" borderId="44" xfId="1" applyFont="1" applyFill="1" applyBorder="1" applyAlignment="1">
      <alignment horizontal="center" vertical="center" readingOrder="2"/>
    </xf>
    <xf numFmtId="0" fontId="14" fillId="0" borderId="45" xfId="1" applyFont="1" applyFill="1" applyBorder="1" applyAlignment="1">
      <alignment horizontal="center" vertical="center" readingOrder="1"/>
    </xf>
    <xf numFmtId="0" fontId="4" fillId="3" borderId="44" xfId="1" applyFont="1" applyFill="1" applyBorder="1" applyAlignment="1">
      <alignment horizontal="center" vertical="center" readingOrder="2"/>
    </xf>
    <xf numFmtId="3" fontId="1" fillId="3" borderId="41" xfId="1" applyNumberFormat="1" applyFont="1" applyFill="1" applyBorder="1" applyAlignment="1">
      <alignment horizontal="right" vertical="center" indent="1" readingOrder="1"/>
    </xf>
    <xf numFmtId="3" fontId="1" fillId="0" borderId="0" xfId="1" applyNumberFormat="1"/>
    <xf numFmtId="0" fontId="1" fillId="0" borderId="15" xfId="1" applyFont="1" applyFill="1" applyBorder="1" applyAlignment="1">
      <alignment horizontal="center" vertical="center" wrapText="1" readingOrder="1"/>
    </xf>
    <xf numFmtId="0" fontId="14" fillId="0" borderId="44" xfId="17" applyFont="1" applyFill="1" applyBorder="1" applyAlignment="1">
      <alignment horizontal="center" vertical="center" wrapText="1" readingOrder="1"/>
    </xf>
    <xf numFmtId="3" fontId="14" fillId="0" borderId="31" xfId="17" applyNumberFormat="1" applyFont="1" applyFill="1" applyBorder="1" applyAlignment="1">
      <alignment horizontal="left" vertical="center" wrapText="1" indent="1"/>
    </xf>
    <xf numFmtId="0" fontId="57" fillId="0" borderId="15" xfId="17" applyFont="1" applyFill="1" applyBorder="1" applyAlignment="1">
      <alignment horizontal="left" vertical="center" wrapText="1" indent="1" readingOrder="1"/>
    </xf>
    <xf numFmtId="0" fontId="57" fillId="0" borderId="40" xfId="17" applyFont="1" applyFill="1" applyBorder="1" applyAlignment="1">
      <alignment horizontal="left" vertical="center" wrapText="1" indent="1" readingOrder="1"/>
    </xf>
    <xf numFmtId="3" fontId="14" fillId="0" borderId="31" xfId="18" applyNumberFormat="1" applyFont="1" applyFill="1" applyBorder="1">
      <alignment horizontal="right" vertical="center" indent="1"/>
    </xf>
    <xf numFmtId="3" fontId="14" fillId="0" borderId="31" xfId="16" applyNumberFormat="1" applyFont="1" applyFill="1" applyBorder="1">
      <alignment horizontal="right" vertical="center" indent="1"/>
    </xf>
    <xf numFmtId="3" fontId="14" fillId="0" borderId="15" xfId="18" applyNumberFormat="1" applyFont="1" applyFill="1" applyBorder="1" applyAlignment="1">
      <alignment horizontal="right" vertical="center" indent="1"/>
    </xf>
    <xf numFmtId="3" fontId="14" fillId="0" borderId="15" xfId="18" applyNumberFormat="1" applyFont="1" applyFill="1" applyBorder="1">
      <alignment horizontal="right" vertical="center" indent="1"/>
    </xf>
    <xf numFmtId="0" fontId="59" fillId="0" borderId="13" xfId="17" applyFont="1" applyFill="1" applyBorder="1" applyAlignment="1">
      <alignment horizontal="center" vertical="center" wrapText="1" readingOrder="2"/>
    </xf>
    <xf numFmtId="0" fontId="58" fillId="0" borderId="15" xfId="17" applyFont="1" applyFill="1" applyBorder="1" applyAlignment="1">
      <alignment horizontal="center" vertical="center" wrapText="1" readingOrder="1"/>
    </xf>
    <xf numFmtId="0" fontId="59" fillId="0" borderId="42" xfId="17" applyFont="1" applyFill="1" applyBorder="1" applyAlignment="1">
      <alignment horizontal="center" vertical="center" wrapText="1" readingOrder="2"/>
    </xf>
    <xf numFmtId="0" fontId="58" fillId="0" borderId="40" xfId="17" applyFont="1" applyFill="1" applyBorder="1" applyAlignment="1">
      <alignment horizontal="center" vertical="center" wrapText="1" readingOrder="1"/>
    </xf>
    <xf numFmtId="0" fontId="4" fillId="3" borderId="44" xfId="17" applyFont="1" applyFill="1" applyBorder="1" applyAlignment="1">
      <alignment horizontal="center" vertical="center" wrapText="1" readingOrder="2"/>
    </xf>
    <xf numFmtId="3" fontId="14" fillId="3" borderId="31" xfId="1" applyNumberFormat="1" applyFont="1" applyFill="1" applyBorder="1" applyAlignment="1">
      <alignment horizontal="right" vertical="center" indent="1" readingOrder="1"/>
    </xf>
    <xf numFmtId="3" fontId="14" fillId="3" borderId="31" xfId="18" applyNumberFormat="1" applyFont="1" applyFill="1" applyBorder="1">
      <alignment horizontal="right" vertical="center" indent="1"/>
    </xf>
    <xf numFmtId="0" fontId="14" fillId="3" borderId="45" xfId="17" applyFont="1" applyFill="1" applyBorder="1" applyAlignment="1">
      <alignment horizontal="center" vertical="center" wrapText="1" readingOrder="1"/>
    </xf>
    <xf numFmtId="0" fontId="4" fillId="0" borderId="45" xfId="1" applyFont="1" applyFill="1" applyBorder="1" applyAlignment="1">
      <alignment horizontal="center" vertical="center" readingOrder="1"/>
    </xf>
    <xf numFmtId="0" fontId="60" fillId="0" borderId="13" xfId="1" applyFont="1" applyFill="1" applyBorder="1" applyAlignment="1">
      <alignment horizontal="center" vertical="center" wrapText="1" readingOrder="2"/>
    </xf>
    <xf numFmtId="0" fontId="61" fillId="0" borderId="15" xfId="1" applyFont="1" applyFill="1" applyBorder="1" applyAlignment="1">
      <alignment horizontal="center" vertical="center" wrapText="1" readingOrder="1"/>
    </xf>
    <xf numFmtId="0" fontId="60" fillId="0" borderId="42" xfId="1" applyFont="1" applyFill="1" applyBorder="1" applyAlignment="1">
      <alignment horizontal="center" vertical="center" wrapText="1" readingOrder="2"/>
    </xf>
    <xf numFmtId="0" fontId="61" fillId="0" borderId="40" xfId="1" applyFont="1" applyFill="1" applyBorder="1" applyAlignment="1">
      <alignment horizontal="center" vertical="center" wrapText="1" readingOrder="1"/>
    </xf>
    <xf numFmtId="0" fontId="1" fillId="0" borderId="13" xfId="1" applyFont="1" applyFill="1" applyBorder="1" applyAlignment="1">
      <alignment horizontal="right" vertical="center" indent="1" readingOrder="1"/>
    </xf>
    <xf numFmtId="0" fontId="14" fillId="0" borderId="15" xfId="1" applyFont="1" applyFill="1" applyBorder="1" applyAlignment="1">
      <alignment horizontal="right" vertical="center" indent="1" readingOrder="1"/>
    </xf>
    <xf numFmtId="0" fontId="14" fillId="0" borderId="31" xfId="1" applyFont="1" applyFill="1" applyBorder="1" applyAlignment="1">
      <alignment horizontal="right" vertical="center" indent="1" readingOrder="1"/>
    </xf>
    <xf numFmtId="0" fontId="1" fillId="3" borderId="0" xfId="1" applyFill="1"/>
    <xf numFmtId="0" fontId="15" fillId="6" borderId="16" xfId="1" applyFont="1" applyFill="1" applyBorder="1" applyAlignment="1">
      <alignment horizontal="center" vertical="center" wrapText="1" readingOrder="2"/>
    </xf>
    <xf numFmtId="0" fontId="17" fillId="6" borderId="18" xfId="1" applyFont="1" applyFill="1" applyBorder="1" applyAlignment="1">
      <alignment horizontal="center" vertical="center" wrapText="1" readingOrder="1"/>
    </xf>
    <xf numFmtId="0" fontId="14" fillId="0" borderId="13" xfId="1" applyFont="1" applyFill="1" applyBorder="1" applyAlignment="1">
      <alignment horizontal="right" vertical="center" indent="1" readingOrder="1"/>
    </xf>
    <xf numFmtId="0" fontId="4" fillId="0" borderId="10" xfId="1" applyFont="1" applyFill="1" applyBorder="1" applyAlignment="1">
      <alignment horizontal="center" vertical="center" readingOrder="2"/>
    </xf>
    <xf numFmtId="49" fontId="59" fillId="0" borderId="13" xfId="17" applyNumberFormat="1" applyFont="1" applyFill="1" applyBorder="1" applyAlignment="1">
      <alignment horizontal="center" vertical="center" wrapText="1" readingOrder="2"/>
    </xf>
    <xf numFmtId="49" fontId="58" fillId="0" borderId="15" xfId="17" applyNumberFormat="1" applyFont="1" applyFill="1" applyBorder="1" applyAlignment="1">
      <alignment horizontal="center" vertical="center" wrapText="1" readingOrder="1"/>
    </xf>
    <xf numFmtId="49" fontId="59" fillId="0" borderId="42" xfId="17" applyNumberFormat="1" applyFont="1" applyFill="1" applyBorder="1" applyAlignment="1">
      <alignment horizontal="center" vertical="center" wrapText="1" readingOrder="2"/>
    </xf>
    <xf numFmtId="49" fontId="58" fillId="0" borderId="40" xfId="17" applyNumberFormat="1" applyFont="1" applyFill="1" applyBorder="1" applyAlignment="1">
      <alignment horizontal="center" vertical="center" wrapText="1" readingOrder="1"/>
    </xf>
    <xf numFmtId="0" fontId="14" fillId="3" borderId="40" xfId="1" applyFont="1" applyFill="1" applyBorder="1" applyAlignment="1">
      <alignment horizontal="center" vertical="center" readingOrder="1"/>
    </xf>
    <xf numFmtId="0" fontId="14" fillId="6" borderId="40" xfId="1" applyFont="1" applyFill="1" applyBorder="1" applyAlignment="1">
      <alignment horizontal="center" vertical="center" readingOrder="1"/>
    </xf>
    <xf numFmtId="0" fontId="15" fillId="0" borderId="13" xfId="1" applyFont="1" applyFill="1" applyBorder="1" applyAlignment="1">
      <alignment horizontal="right" vertical="center" wrapText="1" indent="1" readingOrder="2"/>
    </xf>
    <xf numFmtId="0" fontId="15" fillId="0" borderId="16" xfId="1" applyFont="1" applyFill="1" applyBorder="1" applyAlignment="1">
      <alignment horizontal="right" vertical="center" wrapText="1" indent="1" readingOrder="2"/>
    </xf>
    <xf numFmtId="0" fontId="15" fillId="3" borderId="16" xfId="1" applyFont="1" applyFill="1" applyBorder="1" applyAlignment="1">
      <alignment horizontal="right" vertical="center" wrapText="1" indent="1" readingOrder="2"/>
    </xf>
    <xf numFmtId="0" fontId="15" fillId="3" borderId="19" xfId="1" applyFont="1" applyFill="1" applyBorder="1" applyAlignment="1">
      <alignment horizontal="right" vertical="center" wrapText="1" indent="1" readingOrder="2"/>
    </xf>
    <xf numFmtId="0" fontId="15" fillId="0" borderId="13" xfId="1" applyFont="1" applyFill="1" applyBorder="1" applyAlignment="1">
      <alignment horizontal="center" vertical="center" wrapText="1" readingOrder="2"/>
    </xf>
    <xf numFmtId="0" fontId="15" fillId="0" borderId="16" xfId="1" applyFont="1" applyFill="1" applyBorder="1" applyAlignment="1">
      <alignment horizontal="center" vertical="center" wrapText="1" readingOrder="2"/>
    </xf>
    <xf numFmtId="0" fontId="15" fillId="3" borderId="16" xfId="1" applyFont="1" applyFill="1" applyBorder="1" applyAlignment="1">
      <alignment horizontal="center" vertical="center" wrapText="1" readingOrder="2"/>
    </xf>
    <xf numFmtId="0" fontId="15" fillId="3" borderId="19" xfId="1" applyFont="1" applyFill="1" applyBorder="1" applyAlignment="1">
      <alignment horizontal="center" vertical="center" wrapText="1" readingOrder="2"/>
    </xf>
    <xf numFmtId="164" fontId="7" fillId="3" borderId="23" xfId="1" applyNumberFormat="1" applyFont="1" applyFill="1" applyBorder="1" applyAlignment="1">
      <alignment horizontal="center" vertical="center" wrapText="1" readingOrder="1"/>
    </xf>
    <xf numFmtId="0" fontId="0" fillId="0" borderId="0" xfId="0" applyAlignment="1">
      <alignment wrapText="1"/>
    </xf>
    <xf numFmtId="3" fontId="53" fillId="0" borderId="17" xfId="18" applyNumberFormat="1" applyFont="1" applyFill="1" applyBorder="1" applyAlignment="1">
      <alignment horizontal="right" vertical="center" indent="1"/>
    </xf>
    <xf numFmtId="0" fontId="14" fillId="3" borderId="40" xfId="17" applyFont="1" applyFill="1" applyBorder="1" applyAlignment="1">
      <alignment horizontal="center" vertical="center" wrapText="1" readingOrder="1"/>
    </xf>
    <xf numFmtId="164" fontId="1" fillId="3" borderId="41" xfId="1" applyNumberFormat="1" applyFont="1" applyFill="1" applyBorder="1" applyAlignment="1">
      <alignment horizontal="right" vertical="center" indent="1" readingOrder="1"/>
    </xf>
    <xf numFmtId="3" fontId="14" fillId="3" borderId="41" xfId="1" applyNumberFormat="1" applyFont="1" applyFill="1" applyBorder="1" applyAlignment="1">
      <alignment horizontal="right" vertical="center" indent="1" readingOrder="1"/>
    </xf>
    <xf numFmtId="164" fontId="14" fillId="3" borderId="41" xfId="1" applyNumberFormat="1" applyFont="1" applyFill="1" applyBorder="1" applyAlignment="1">
      <alignment horizontal="right" vertical="center" indent="1" readingOrder="1"/>
    </xf>
    <xf numFmtId="0" fontId="54" fillId="6" borderId="13" xfId="0" applyFont="1" applyFill="1" applyBorder="1" applyAlignment="1">
      <alignment horizontal="right" vertical="center" indent="1" readingOrder="2"/>
    </xf>
    <xf numFmtId="3" fontId="53" fillId="6" borderId="14" xfId="0" applyNumberFormat="1" applyFont="1" applyFill="1" applyBorder="1" applyAlignment="1">
      <alignment horizontal="right" vertical="center" indent="1"/>
    </xf>
    <xf numFmtId="164" fontId="53" fillId="6" borderId="14" xfId="0" applyNumberFormat="1" applyFont="1" applyFill="1" applyBorder="1" applyAlignment="1">
      <alignment horizontal="right" vertical="center" indent="1"/>
    </xf>
    <xf numFmtId="3" fontId="64" fillId="6" borderId="14" xfId="0" applyNumberFormat="1" applyFont="1" applyFill="1" applyBorder="1" applyAlignment="1">
      <alignment horizontal="right" vertical="center" indent="1"/>
    </xf>
    <xf numFmtId="164" fontId="64" fillId="6" borderId="14" xfId="0" applyNumberFormat="1" applyFont="1" applyFill="1" applyBorder="1" applyAlignment="1">
      <alignment horizontal="right" vertical="center" indent="1"/>
    </xf>
    <xf numFmtId="0" fontId="64" fillId="6" borderId="15" xfId="0" applyFont="1" applyFill="1" applyBorder="1" applyAlignment="1">
      <alignment horizontal="left" vertical="center" indent="1"/>
    </xf>
    <xf numFmtId="0" fontId="62" fillId="0" borderId="16" xfId="0" applyFont="1" applyBorder="1" applyAlignment="1">
      <alignment horizontal="right" vertical="center" indent="1" readingOrder="2"/>
    </xf>
    <xf numFmtId="3" fontId="63" fillId="0" borderId="17" xfId="0" applyNumberFormat="1" applyFont="1" applyBorder="1" applyAlignment="1">
      <alignment horizontal="right" vertical="center" indent="1"/>
    </xf>
    <xf numFmtId="164" fontId="63" fillId="0" borderId="17" xfId="0" applyNumberFormat="1" applyFont="1" applyBorder="1" applyAlignment="1">
      <alignment horizontal="right" vertical="center" indent="1"/>
    </xf>
    <xf numFmtId="3" fontId="64" fillId="0" borderId="17" xfId="0" applyNumberFormat="1" applyFont="1" applyBorder="1" applyAlignment="1">
      <alignment horizontal="right" vertical="center" indent="1"/>
    </xf>
    <xf numFmtId="164" fontId="64" fillId="0" borderId="17" xfId="0" applyNumberFormat="1" applyFont="1" applyBorder="1" applyAlignment="1">
      <alignment horizontal="right" vertical="center" indent="1"/>
    </xf>
    <xf numFmtId="0" fontId="64" fillId="0" borderId="18" xfId="0" applyFont="1" applyBorder="1" applyAlignment="1">
      <alignment horizontal="left" vertical="center" indent="1"/>
    </xf>
    <xf numFmtId="0" fontId="62" fillId="6" borderId="16" xfId="0" applyFont="1" applyFill="1" applyBorder="1" applyAlignment="1">
      <alignment horizontal="right" vertical="center" indent="1" readingOrder="2"/>
    </xf>
    <xf numFmtId="3" fontId="63" fillId="6" borderId="17" xfId="0" applyNumberFormat="1" applyFont="1" applyFill="1" applyBorder="1" applyAlignment="1">
      <alignment horizontal="right" vertical="center" indent="1"/>
    </xf>
    <xf numFmtId="164" fontId="63" fillId="6" borderId="17" xfId="0" applyNumberFormat="1" applyFont="1" applyFill="1" applyBorder="1" applyAlignment="1">
      <alignment horizontal="right" vertical="center" indent="1"/>
    </xf>
    <xf numFmtId="3" fontId="64" fillId="6" borderId="17" xfId="0" applyNumberFormat="1" applyFont="1" applyFill="1" applyBorder="1" applyAlignment="1">
      <alignment horizontal="right" vertical="center" indent="1"/>
    </xf>
    <xf numFmtId="164" fontId="64" fillId="6" borderId="17" xfId="0" applyNumberFormat="1" applyFont="1" applyFill="1" applyBorder="1" applyAlignment="1">
      <alignment horizontal="right" vertical="center" indent="1"/>
    </xf>
    <xf numFmtId="0" fontId="64" fillId="6" borderId="18" xfId="0" applyFont="1" applyFill="1" applyBorder="1" applyAlignment="1">
      <alignment horizontal="left" vertical="center" indent="1"/>
    </xf>
    <xf numFmtId="0" fontId="62" fillId="3" borderId="19" xfId="0" applyFont="1" applyFill="1" applyBorder="1" applyAlignment="1">
      <alignment horizontal="right" vertical="center" indent="1" readingOrder="2"/>
    </xf>
    <xf numFmtId="3" fontId="63" fillId="3" borderId="20" xfId="0" applyNumberFormat="1" applyFont="1" applyFill="1" applyBorder="1" applyAlignment="1">
      <alignment horizontal="right" vertical="center" indent="1"/>
    </xf>
    <xf numFmtId="164" fontId="63" fillId="3" borderId="20" xfId="0" applyNumberFormat="1" applyFont="1" applyFill="1" applyBorder="1" applyAlignment="1">
      <alignment horizontal="right" vertical="center" indent="1"/>
    </xf>
    <xf numFmtId="3" fontId="64" fillId="3" borderId="20" xfId="0" applyNumberFormat="1" applyFont="1" applyFill="1" applyBorder="1" applyAlignment="1">
      <alignment horizontal="right" vertical="center" indent="1"/>
    </xf>
    <xf numFmtId="164" fontId="64" fillId="3" borderId="20" xfId="0" applyNumberFormat="1" applyFont="1" applyFill="1" applyBorder="1" applyAlignment="1">
      <alignment horizontal="right" vertical="center" indent="1"/>
    </xf>
    <xf numFmtId="0" fontId="64" fillId="3" borderId="21" xfId="0" applyFont="1" applyFill="1" applyBorder="1" applyAlignment="1">
      <alignment horizontal="left" vertical="center" indent="1"/>
    </xf>
    <xf numFmtId="0" fontId="4" fillId="0" borderId="7" xfId="17" applyFont="1" applyFill="1" applyBorder="1" applyAlignment="1">
      <alignment horizontal="right" vertical="center" wrapText="1" indent="1" readingOrder="2"/>
    </xf>
    <xf numFmtId="0" fontId="1" fillId="0" borderId="9" xfId="17" applyFont="1" applyFill="1" applyBorder="1" applyAlignment="1">
      <alignment horizontal="left" vertical="center" wrapText="1" indent="1" readingOrder="1"/>
    </xf>
    <xf numFmtId="0" fontId="4" fillId="0" borderId="16" xfId="17" applyFont="1" applyFill="1" applyBorder="1" applyAlignment="1">
      <alignment horizontal="right" vertical="center" wrapText="1" indent="1" readingOrder="2"/>
    </xf>
    <xf numFmtId="3" fontId="1" fillId="0" borderId="8" xfId="1" applyNumberFormat="1" applyFont="1" applyFill="1" applyBorder="1" applyAlignment="1">
      <alignment horizontal="right" vertical="center" indent="1" readingOrder="1"/>
    </xf>
    <xf numFmtId="164" fontId="14" fillId="0" borderId="8" xfId="18" applyNumberFormat="1" applyFont="1" applyFill="1" applyBorder="1" applyAlignment="1">
      <alignment horizontal="right" vertical="center" indent="1"/>
    </xf>
    <xf numFmtId="164" fontId="14" fillId="3" borderId="17" xfId="18" applyNumberFormat="1" applyFont="1" applyFill="1" applyBorder="1" applyAlignment="1">
      <alignment horizontal="right" vertical="center" indent="1"/>
    </xf>
    <xf numFmtId="164" fontId="14" fillId="0" borderId="17" xfId="18" applyNumberFormat="1" applyFont="1" applyFill="1" applyBorder="1" applyAlignment="1">
      <alignment horizontal="right" vertical="center" indent="1"/>
    </xf>
    <xf numFmtId="164" fontId="14" fillId="3" borderId="20" xfId="18" applyNumberFormat="1" applyFont="1" applyFill="1" applyBorder="1" applyAlignment="1">
      <alignment horizontal="right" vertical="center" indent="1"/>
    </xf>
    <xf numFmtId="3" fontId="53" fillId="0" borderId="14" xfId="1" applyNumberFormat="1" applyFont="1" applyFill="1" applyBorder="1" applyAlignment="1">
      <alignment horizontal="right" vertical="center" indent="1" readingOrder="1"/>
    </xf>
    <xf numFmtId="3" fontId="53" fillId="0" borderId="17" xfId="1" applyNumberFormat="1" applyFont="1" applyFill="1" applyBorder="1" applyAlignment="1">
      <alignment horizontal="right" vertical="center" indent="1" readingOrder="1"/>
    </xf>
    <xf numFmtId="3" fontId="53" fillId="0" borderId="20" xfId="1" applyNumberFormat="1" applyFont="1" applyFill="1" applyBorder="1" applyAlignment="1">
      <alignment horizontal="right" vertical="center" indent="1" readingOrder="1"/>
    </xf>
    <xf numFmtId="0" fontId="56" fillId="0" borderId="13" xfId="1" applyFont="1" applyFill="1" applyBorder="1" applyAlignment="1">
      <alignment horizontal="center" vertical="center" wrapText="1" readingOrder="2"/>
    </xf>
    <xf numFmtId="0" fontId="55" fillId="0" borderId="15" xfId="1" applyFont="1" applyFill="1" applyBorder="1" applyAlignment="1">
      <alignment horizontal="center" vertical="center" wrapText="1" readingOrder="1"/>
    </xf>
    <xf numFmtId="0" fontId="56" fillId="0" borderId="16" xfId="1" applyFont="1" applyFill="1" applyBorder="1" applyAlignment="1">
      <alignment horizontal="center" vertical="center" wrapText="1" readingOrder="2"/>
    </xf>
    <xf numFmtId="0" fontId="55" fillId="0" borderId="18" xfId="1" applyFont="1" applyFill="1" applyBorder="1" applyAlignment="1">
      <alignment horizontal="center" vertical="center" wrapText="1" readingOrder="1"/>
    </xf>
    <xf numFmtId="0" fontId="53" fillId="0" borderId="15" xfId="1" applyFont="1" applyFill="1" applyBorder="1" applyAlignment="1">
      <alignment horizontal="center" vertical="center" wrapText="1" readingOrder="1"/>
    </xf>
    <xf numFmtId="0" fontId="53" fillId="0" borderId="18" xfId="1" applyFont="1" applyFill="1" applyBorder="1" applyAlignment="1">
      <alignment horizontal="center" vertical="center" wrapText="1" readingOrder="1"/>
    </xf>
    <xf numFmtId="0" fontId="54" fillId="0" borderId="13" xfId="1" applyFont="1" applyFill="1" applyBorder="1" applyAlignment="1">
      <alignment horizontal="center" vertical="center" wrapText="1" readingOrder="2"/>
    </xf>
    <xf numFmtId="0" fontId="54" fillId="0" borderId="16" xfId="1" applyFont="1" applyFill="1" applyBorder="1" applyAlignment="1">
      <alignment horizontal="center" vertical="center" wrapText="1" readingOrder="2"/>
    </xf>
    <xf numFmtId="0" fontId="54" fillId="0" borderId="19" xfId="1" applyFont="1" applyFill="1" applyBorder="1" applyAlignment="1">
      <alignment horizontal="center" vertical="center" wrapText="1" readingOrder="2"/>
    </xf>
    <xf numFmtId="0" fontId="53" fillId="0" borderId="21" xfId="1" applyFont="1" applyFill="1" applyBorder="1" applyAlignment="1">
      <alignment horizontal="center" vertical="center" wrapText="1" readingOrder="1"/>
    </xf>
    <xf numFmtId="0" fontId="54" fillId="0" borderId="13" xfId="1" applyFont="1" applyFill="1" applyBorder="1" applyAlignment="1">
      <alignment horizontal="center" wrapText="1" readingOrder="2"/>
    </xf>
    <xf numFmtId="0" fontId="53" fillId="0" borderId="15" xfId="1" applyFont="1" applyFill="1" applyBorder="1" applyAlignment="1">
      <alignment horizontal="center" wrapText="1" readingOrder="1"/>
    </xf>
    <xf numFmtId="0" fontId="54" fillId="0" borderId="16" xfId="1" applyFont="1" applyFill="1" applyBorder="1" applyAlignment="1">
      <alignment horizontal="center" wrapText="1" readingOrder="2"/>
    </xf>
    <xf numFmtId="0" fontId="53" fillId="0" borderId="18" xfId="1" applyFont="1" applyFill="1" applyBorder="1" applyAlignment="1">
      <alignment horizontal="center" wrapText="1" readingOrder="1"/>
    </xf>
    <xf numFmtId="0" fontId="54" fillId="0" borderId="19" xfId="1" applyFont="1" applyFill="1" applyBorder="1" applyAlignment="1">
      <alignment horizontal="center" wrapText="1" readingOrder="2"/>
    </xf>
    <xf numFmtId="0" fontId="53" fillId="0" borderId="21" xfId="1" applyFont="1" applyFill="1" applyBorder="1" applyAlignment="1">
      <alignment horizontal="center" wrapText="1" readingOrder="1"/>
    </xf>
    <xf numFmtId="0" fontId="56" fillId="0" borderId="7" xfId="1" applyFont="1" applyFill="1" applyBorder="1" applyAlignment="1">
      <alignment horizontal="center" vertical="center" wrapText="1" readingOrder="2"/>
    </xf>
    <xf numFmtId="0" fontId="55" fillId="0" borderId="9" xfId="1" applyFont="1" applyFill="1" applyBorder="1" applyAlignment="1">
      <alignment horizontal="center" vertical="center" wrapText="1" readingOrder="1"/>
    </xf>
    <xf numFmtId="164" fontId="14" fillId="0" borderId="11" xfId="1" applyNumberFormat="1" applyFont="1" applyFill="1" applyBorder="1" applyAlignment="1">
      <alignment horizontal="right" vertical="center" indent="1" readingOrder="1"/>
    </xf>
    <xf numFmtId="0" fontId="14" fillId="0" borderId="12" xfId="1" applyFont="1" applyFill="1" applyBorder="1" applyAlignment="1">
      <alignment horizontal="center" vertical="center" readingOrder="1"/>
    </xf>
    <xf numFmtId="0" fontId="56" fillId="0" borderId="19" xfId="1" applyFont="1" applyFill="1" applyBorder="1" applyAlignment="1">
      <alignment horizontal="center" vertical="center" wrapText="1" readingOrder="2"/>
    </xf>
    <xf numFmtId="0" fontId="55" fillId="0" borderId="21" xfId="1" applyFont="1" applyFill="1" applyBorder="1" applyAlignment="1">
      <alignment horizontal="center" vertical="center" wrapText="1" readingOrder="1"/>
    </xf>
    <xf numFmtId="0" fontId="54" fillId="0" borderId="7" xfId="1" applyFont="1" applyFill="1" applyBorder="1" applyAlignment="1">
      <alignment horizontal="center" wrapText="1" readingOrder="2"/>
    </xf>
    <xf numFmtId="0" fontId="53" fillId="0" borderId="9" xfId="1" applyFont="1" applyFill="1" applyBorder="1" applyAlignment="1">
      <alignment horizontal="center" wrapText="1" readingOrder="1"/>
    </xf>
    <xf numFmtId="0" fontId="4" fillId="0" borderId="10" xfId="1" applyFont="1" applyFill="1" applyBorder="1" applyAlignment="1">
      <alignment horizontal="center" readingOrder="2"/>
    </xf>
    <xf numFmtId="0" fontId="14" fillId="0" borderId="12" xfId="1" applyFont="1" applyFill="1" applyBorder="1" applyAlignment="1">
      <alignment horizontal="center" readingOrder="1"/>
    </xf>
    <xf numFmtId="0" fontId="4" fillId="0" borderId="44" xfId="1" applyFont="1" applyFill="1" applyBorder="1" applyAlignment="1">
      <alignment horizontal="center" readingOrder="2"/>
    </xf>
    <xf numFmtId="0" fontId="14" fillId="0" borderId="45" xfId="1" applyFont="1" applyFill="1" applyBorder="1" applyAlignment="1">
      <alignment horizontal="center" readingOrder="1"/>
    </xf>
    <xf numFmtId="0" fontId="56" fillId="3" borderId="44" xfId="1" applyFont="1" applyFill="1" applyBorder="1" applyAlignment="1">
      <alignment horizontal="center" vertical="center" wrapText="1" readingOrder="2"/>
    </xf>
    <xf numFmtId="0" fontId="55" fillId="3" borderId="45" xfId="1" applyFont="1" applyFill="1" applyBorder="1" applyAlignment="1">
      <alignment horizontal="center" vertical="center" wrapText="1" readingOrder="1"/>
    </xf>
    <xf numFmtId="0" fontId="56" fillId="3" borderId="10" xfId="1" applyFont="1" applyFill="1" applyBorder="1" applyAlignment="1">
      <alignment horizontal="center" vertical="center" wrapText="1" readingOrder="2"/>
    </xf>
    <xf numFmtId="0" fontId="55" fillId="3" borderId="12" xfId="1" applyFont="1" applyFill="1" applyBorder="1" applyAlignment="1">
      <alignment horizontal="center" vertical="center" wrapText="1" readingOrder="1"/>
    </xf>
    <xf numFmtId="0" fontId="56" fillId="0" borderId="17" xfId="1" applyFont="1" applyFill="1" applyBorder="1" applyAlignment="1">
      <alignment horizontal="center" vertical="center" wrapText="1" readingOrder="2"/>
    </xf>
    <xf numFmtId="0" fontId="56" fillId="0" borderId="14" xfId="1" applyFont="1" applyFill="1" applyBorder="1" applyAlignment="1">
      <alignment horizontal="center" vertical="center" wrapText="1" readingOrder="2"/>
    </xf>
    <xf numFmtId="0" fontId="4" fillId="3" borderId="23" xfId="1" applyFont="1" applyFill="1" applyBorder="1" applyAlignment="1">
      <alignment horizontal="center" vertical="center" wrapText="1" readingOrder="1"/>
    </xf>
    <xf numFmtId="0" fontId="55" fillId="0" borderId="14" xfId="1" applyFont="1" applyFill="1" applyBorder="1" applyAlignment="1">
      <alignment horizontal="center" vertical="center" wrapText="1" readingOrder="1"/>
    </xf>
    <xf numFmtId="0" fontId="55" fillId="0" borderId="17" xfId="1" applyFont="1" applyFill="1" applyBorder="1" applyAlignment="1">
      <alignment horizontal="center" vertical="center" wrapText="1" readingOrder="1"/>
    </xf>
    <xf numFmtId="0" fontId="15" fillId="0" borderId="7" xfId="1" applyFont="1" applyFill="1" applyBorder="1" applyAlignment="1">
      <alignment horizontal="right" vertical="center" wrapText="1" indent="1" readingOrder="2"/>
    </xf>
    <xf numFmtId="0" fontId="1" fillId="0" borderId="9" xfId="1" applyFont="1" applyFill="1" applyBorder="1" applyAlignment="1">
      <alignment horizontal="left" vertical="center" wrapText="1" indent="1" readingOrder="1"/>
    </xf>
    <xf numFmtId="0" fontId="1" fillId="6" borderId="18" xfId="1" applyFont="1" applyFill="1" applyBorder="1" applyAlignment="1">
      <alignment horizontal="left" vertical="center" wrapText="1" indent="1" readingOrder="1"/>
    </xf>
    <xf numFmtId="0" fontId="4" fillId="6" borderId="10" xfId="1" applyFont="1" applyFill="1" applyBorder="1" applyAlignment="1">
      <alignment horizontal="center" vertical="center" readingOrder="2"/>
    </xf>
    <xf numFmtId="0" fontId="15" fillId="6" borderId="7" xfId="1" applyFont="1" applyFill="1" applyBorder="1" applyAlignment="1">
      <alignment horizontal="center" vertical="center" wrapText="1" readingOrder="2"/>
    </xf>
    <xf numFmtId="0" fontId="14" fillId="6" borderId="9" xfId="1" applyFont="1" applyFill="1" applyBorder="1" applyAlignment="1">
      <alignment horizontal="center" vertical="center" wrapText="1" readingOrder="2"/>
    </xf>
    <xf numFmtId="164" fontId="14" fillId="0" borderId="8" xfId="1" applyNumberFormat="1" applyFont="1" applyFill="1" applyBorder="1" applyAlignment="1">
      <alignment horizontal="right" vertical="center" indent="1" readingOrder="1"/>
    </xf>
    <xf numFmtId="3" fontId="1" fillId="0" borderId="0" xfId="1" applyNumberFormat="1" applyFont="1"/>
    <xf numFmtId="3" fontId="53" fillId="0" borderId="41" xfId="1" applyNumberFormat="1" applyFont="1" applyFill="1" applyBorder="1" applyAlignment="1">
      <alignment horizontal="right" vertical="center" indent="1" readingOrder="1"/>
    </xf>
    <xf numFmtId="0" fontId="57" fillId="0" borderId="18" xfId="1" applyFont="1" applyFill="1" applyBorder="1" applyAlignment="1">
      <alignment horizontal="left" vertical="center" wrapText="1" indent="1" readingOrder="1"/>
    </xf>
    <xf numFmtId="0" fontId="57" fillId="0" borderId="21" xfId="1" applyFont="1" applyFill="1" applyBorder="1" applyAlignment="1">
      <alignment horizontal="left" vertical="center" wrapText="1" indent="1" readingOrder="1"/>
    </xf>
    <xf numFmtId="0" fontId="57" fillId="0" borderId="40" xfId="1" applyFont="1" applyFill="1" applyBorder="1" applyAlignment="1">
      <alignment horizontal="left" vertical="center" wrapText="1" indent="1" readingOrder="1"/>
    </xf>
    <xf numFmtId="0" fontId="60" fillId="0" borderId="16" xfId="1" applyFont="1" applyFill="1" applyBorder="1" applyAlignment="1">
      <alignment horizontal="right" vertical="center" wrapText="1" indent="1" readingOrder="2"/>
    </xf>
    <xf numFmtId="0" fontId="60" fillId="0" borderId="19" xfId="1" applyFont="1" applyFill="1" applyBorder="1" applyAlignment="1">
      <alignment horizontal="right" vertical="center" wrapText="1" indent="1" readingOrder="2"/>
    </xf>
    <xf numFmtId="0" fontId="60" fillId="0" borderId="42" xfId="1" applyFont="1" applyFill="1" applyBorder="1" applyAlignment="1">
      <alignment horizontal="right" vertical="center" wrapText="1" indent="1" readingOrder="2"/>
    </xf>
    <xf numFmtId="0" fontId="60" fillId="0" borderId="16" xfId="1" applyFont="1" applyFill="1" applyBorder="1" applyAlignment="1">
      <alignment horizontal="center" vertical="center" wrapText="1" readingOrder="2"/>
    </xf>
    <xf numFmtId="0" fontId="57" fillId="0" borderId="18" xfId="1" applyFont="1" applyFill="1" applyBorder="1" applyAlignment="1">
      <alignment horizontal="center" vertical="center" wrapText="1" readingOrder="1"/>
    </xf>
    <xf numFmtId="0" fontId="60" fillId="0" borderId="19" xfId="1" applyFont="1" applyFill="1" applyBorder="1" applyAlignment="1">
      <alignment horizontal="center" vertical="center" wrapText="1" readingOrder="2"/>
    </xf>
    <xf numFmtId="0" fontId="57" fillId="0" borderId="21" xfId="1" applyFont="1" applyFill="1" applyBorder="1" applyAlignment="1">
      <alignment horizontal="center" vertical="center" wrapText="1" readingOrder="1"/>
    </xf>
    <xf numFmtId="3" fontId="14" fillId="6" borderId="8" xfId="1" applyNumberFormat="1" applyFont="1" applyFill="1" applyBorder="1" applyAlignment="1">
      <alignment horizontal="right" vertical="center" indent="1" readingOrder="1"/>
    </xf>
    <xf numFmtId="3" fontId="14" fillId="6" borderId="17" xfId="1" applyNumberFormat="1" applyFont="1" applyFill="1" applyBorder="1" applyAlignment="1">
      <alignment horizontal="right" vertical="center" indent="1" readingOrder="1"/>
    </xf>
    <xf numFmtId="3" fontId="14" fillId="6" borderId="11" xfId="1" applyNumberFormat="1" applyFont="1" applyFill="1" applyBorder="1" applyAlignment="1">
      <alignment horizontal="right" vertical="center" indent="1" readingOrder="1"/>
    </xf>
    <xf numFmtId="0" fontId="1" fillId="0" borderId="0" xfId="1" applyFont="1" applyAlignment="1">
      <alignment horizontal="center" vertical="center"/>
    </xf>
    <xf numFmtId="0" fontId="1" fillId="0" borderId="0" xfId="1" applyFont="1" applyAlignment="1">
      <alignment wrapText="1"/>
    </xf>
    <xf numFmtId="0" fontId="1" fillId="0" borderId="0" xfId="1" applyFont="1" applyAlignment="1">
      <alignment horizontal="center"/>
    </xf>
    <xf numFmtId="3" fontId="53" fillId="6" borderId="8" xfId="1" applyNumberFormat="1" applyFont="1" applyFill="1" applyBorder="1" applyAlignment="1">
      <alignment horizontal="right" vertical="center" indent="1" readingOrder="1"/>
    </xf>
    <xf numFmtId="3" fontId="53" fillId="6" borderId="17" xfId="1" applyNumberFormat="1" applyFont="1" applyFill="1" applyBorder="1" applyAlignment="1">
      <alignment horizontal="right" vertical="center" indent="1" readingOrder="1"/>
    </xf>
    <xf numFmtId="3" fontId="53" fillId="3" borderId="17" xfId="1" applyNumberFormat="1" applyFont="1" applyFill="1" applyBorder="1" applyAlignment="1">
      <alignment horizontal="right" vertical="center" indent="1" readingOrder="1"/>
    </xf>
    <xf numFmtId="3" fontId="53" fillId="3" borderId="20" xfId="1" applyNumberFormat="1" applyFont="1" applyFill="1" applyBorder="1" applyAlignment="1">
      <alignment horizontal="right" vertical="center" indent="1" readingOrder="1"/>
    </xf>
    <xf numFmtId="164" fontId="46" fillId="6" borderId="8" xfId="1" applyNumberFormat="1" applyFont="1" applyFill="1" applyBorder="1" applyAlignment="1">
      <alignment horizontal="center" vertical="center" readingOrder="1"/>
    </xf>
    <xf numFmtId="164" fontId="46" fillId="6" borderId="17" xfId="1" applyNumberFormat="1" applyFont="1" applyFill="1" applyBorder="1" applyAlignment="1">
      <alignment horizontal="center" vertical="center" readingOrder="1"/>
    </xf>
    <xf numFmtId="164" fontId="46" fillId="3" borderId="17" xfId="1" applyNumberFormat="1" applyFont="1" applyFill="1" applyBorder="1" applyAlignment="1">
      <alignment horizontal="center" vertical="center" readingOrder="1"/>
    </xf>
    <xf numFmtId="164" fontId="46" fillId="3" borderId="20" xfId="1" applyNumberFormat="1" applyFont="1" applyFill="1" applyBorder="1" applyAlignment="1">
      <alignment horizontal="center" vertical="center" readingOrder="1"/>
    </xf>
    <xf numFmtId="164" fontId="46" fillId="6" borderId="11" xfId="1" applyNumberFormat="1" applyFont="1" applyFill="1" applyBorder="1" applyAlignment="1">
      <alignment horizontal="center" vertical="center" readingOrder="1"/>
    </xf>
    <xf numFmtId="0" fontId="1" fillId="6" borderId="8" xfId="1" applyFont="1" applyFill="1" applyBorder="1" applyAlignment="1">
      <alignment horizontal="center" vertical="center" wrapText="1" readingOrder="2"/>
    </xf>
    <xf numFmtId="0" fontId="1" fillId="6" borderId="17" xfId="1" applyFont="1" applyFill="1" applyBorder="1" applyAlignment="1">
      <alignment horizontal="center" vertical="center" wrapText="1" readingOrder="2"/>
    </xf>
    <xf numFmtId="0" fontId="1" fillId="3" borderId="17" xfId="1" applyFont="1" applyFill="1" applyBorder="1" applyAlignment="1">
      <alignment horizontal="center" vertical="center" wrapText="1" readingOrder="2"/>
    </xf>
    <xf numFmtId="0" fontId="1" fillId="3" borderId="20" xfId="1" applyFont="1" applyFill="1" applyBorder="1" applyAlignment="1">
      <alignment horizontal="center" vertical="center" wrapText="1" readingOrder="2"/>
    </xf>
    <xf numFmtId="0" fontId="1" fillId="6" borderId="11" xfId="1" applyFont="1" applyFill="1" applyBorder="1" applyAlignment="1">
      <alignment horizontal="center" vertical="center" wrapText="1" readingOrder="2"/>
    </xf>
    <xf numFmtId="3" fontId="53" fillId="6" borderId="18" xfId="1" applyNumberFormat="1" applyFont="1" applyFill="1" applyBorder="1" applyAlignment="1">
      <alignment horizontal="right" vertical="center" indent="1" readingOrder="1"/>
    </xf>
    <xf numFmtId="3" fontId="53" fillId="3" borderId="18" xfId="1" applyNumberFormat="1" applyFont="1" applyFill="1" applyBorder="1" applyAlignment="1">
      <alignment horizontal="right" vertical="center" indent="1" readingOrder="1"/>
    </xf>
    <xf numFmtId="3" fontId="53" fillId="3" borderId="21" xfId="1" applyNumberFormat="1" applyFont="1" applyFill="1" applyBorder="1" applyAlignment="1">
      <alignment horizontal="right" vertical="center" indent="1" readingOrder="1"/>
    </xf>
    <xf numFmtId="3" fontId="53" fillId="6" borderId="16" xfId="1" applyNumberFormat="1" applyFont="1" applyFill="1" applyBorder="1" applyAlignment="1">
      <alignment horizontal="right" vertical="center" indent="1" readingOrder="1"/>
    </xf>
    <xf numFmtId="3" fontId="53" fillId="3" borderId="16" xfId="1" applyNumberFormat="1" applyFont="1" applyFill="1" applyBorder="1" applyAlignment="1">
      <alignment horizontal="right" vertical="center" indent="1" readingOrder="1"/>
    </xf>
    <xf numFmtId="3" fontId="53" fillId="3" borderId="19" xfId="1" applyNumberFormat="1" applyFont="1" applyFill="1" applyBorder="1" applyAlignment="1">
      <alignment horizontal="right" vertical="center" indent="1" readingOrder="1"/>
    </xf>
    <xf numFmtId="3" fontId="53" fillId="6" borderId="15" xfId="1" applyNumberFormat="1" applyFont="1" applyFill="1" applyBorder="1" applyAlignment="1">
      <alignment horizontal="right" vertical="center" indent="1" readingOrder="1"/>
    </xf>
    <xf numFmtId="3" fontId="53" fillId="6" borderId="14" xfId="1" applyNumberFormat="1" applyFont="1" applyFill="1" applyBorder="1" applyAlignment="1">
      <alignment horizontal="right" vertical="center" indent="1" readingOrder="1"/>
    </xf>
    <xf numFmtId="3" fontId="53" fillId="6" borderId="13" xfId="1" applyNumberFormat="1" applyFont="1" applyFill="1" applyBorder="1" applyAlignment="1">
      <alignment horizontal="right" vertical="center" indent="1" readingOrder="1"/>
    </xf>
    <xf numFmtId="3" fontId="14" fillId="6" borderId="14" xfId="1" applyNumberFormat="1" applyFont="1" applyFill="1" applyBorder="1" applyAlignment="1">
      <alignment horizontal="right" vertical="center" indent="1" readingOrder="1"/>
    </xf>
    <xf numFmtId="3" fontId="14" fillId="0" borderId="8" xfId="16" applyNumberFormat="1" applyFont="1" applyFill="1" applyBorder="1">
      <alignment horizontal="right" vertical="center" indent="1"/>
    </xf>
    <xf numFmtId="3" fontId="58" fillId="0" borderId="17" xfId="16" applyNumberFormat="1" applyFont="1" applyFill="1" applyBorder="1">
      <alignment horizontal="right" vertical="center" indent="1"/>
    </xf>
    <xf numFmtId="0" fontId="4" fillId="3" borderId="10" xfId="17" applyFont="1" applyFill="1" applyBorder="1" applyAlignment="1">
      <alignment horizontal="right" vertical="center" wrapText="1" indent="1" readingOrder="2"/>
    </xf>
    <xf numFmtId="3" fontId="58" fillId="0" borderId="11" xfId="16" applyNumberFormat="1" applyFont="1" applyFill="1" applyBorder="1">
      <alignment horizontal="right" vertical="center" indent="1"/>
    </xf>
    <xf numFmtId="0" fontId="1" fillId="3" borderId="12" xfId="17" applyFont="1" applyFill="1" applyBorder="1" applyAlignment="1">
      <alignment horizontal="left" vertical="center" wrapText="1" indent="1" readingOrder="1"/>
    </xf>
    <xf numFmtId="3" fontId="1" fillId="0" borderId="14" xfId="18" applyNumberFormat="1" applyFont="1" applyFill="1" applyBorder="1" applyAlignment="1">
      <alignment horizontal="right" vertical="center" indent="1"/>
    </xf>
    <xf numFmtId="3" fontId="1" fillId="0" borderId="41" xfId="18" applyNumberFormat="1" applyFont="1" applyFill="1" applyBorder="1" applyAlignment="1">
      <alignment horizontal="right" vertical="center" indent="1"/>
    </xf>
    <xf numFmtId="3" fontId="1" fillId="0" borderId="8" xfId="18" applyNumberFormat="1" applyFont="1" applyFill="1" applyBorder="1">
      <alignment horizontal="right" vertical="center" indent="1"/>
    </xf>
    <xf numFmtId="3" fontId="1" fillId="0" borderId="11" xfId="18" applyNumberFormat="1" applyFont="1" applyFill="1" applyBorder="1">
      <alignment horizontal="right" vertical="center" indent="1"/>
    </xf>
    <xf numFmtId="3" fontId="1" fillId="0" borderId="13" xfId="18" applyNumberFormat="1" applyFont="1" applyFill="1" applyBorder="1" applyAlignment="1">
      <alignment horizontal="right" vertical="center" indent="1"/>
    </xf>
    <xf numFmtId="3" fontId="1" fillId="0" borderId="42" xfId="18" applyNumberFormat="1" applyFont="1" applyFill="1" applyBorder="1" applyAlignment="1">
      <alignment horizontal="right" vertical="center" indent="1"/>
    </xf>
    <xf numFmtId="3" fontId="1" fillId="0" borderId="13" xfId="18" applyNumberFormat="1" applyFont="1" applyFill="1" applyBorder="1">
      <alignment horizontal="right" vertical="center" indent="1"/>
    </xf>
    <xf numFmtId="3" fontId="1" fillId="0" borderId="15" xfId="18" applyNumberFormat="1" applyFont="1" applyFill="1" applyBorder="1">
      <alignment horizontal="right" vertical="center" indent="1"/>
    </xf>
    <xf numFmtId="3" fontId="1" fillId="0" borderId="42" xfId="18" applyNumberFormat="1" applyFont="1" applyFill="1" applyBorder="1">
      <alignment horizontal="right" vertical="center" indent="1"/>
    </xf>
    <xf numFmtId="3" fontId="1" fillId="0" borderId="41" xfId="18" applyNumberFormat="1" applyFont="1" applyFill="1" applyBorder="1">
      <alignment horizontal="right" vertical="center" indent="1"/>
    </xf>
    <xf numFmtId="3" fontId="1" fillId="0" borderId="40" xfId="18" applyNumberFormat="1" applyFont="1" applyFill="1" applyBorder="1">
      <alignment horizontal="right" vertical="center" indent="1"/>
    </xf>
    <xf numFmtId="164" fontId="14" fillId="0" borderId="31" xfId="17" applyNumberFormat="1" applyFont="1" applyFill="1" applyBorder="1" applyAlignment="1">
      <alignment horizontal="left" vertical="center" wrapText="1" indent="1"/>
    </xf>
    <xf numFmtId="164" fontId="14" fillId="0" borderId="8" xfId="18" applyNumberFormat="1" applyFont="1" applyFill="1" applyBorder="1">
      <alignment horizontal="right" vertical="center" indent="1"/>
    </xf>
    <xf numFmtId="164" fontId="14" fillId="3" borderId="11" xfId="18" applyNumberFormat="1" applyFont="1" applyFill="1" applyBorder="1">
      <alignment horizontal="right" vertical="center" indent="1"/>
    </xf>
    <xf numFmtId="3" fontId="1" fillId="0" borderId="16" xfId="18" applyNumberFormat="1" applyFont="1" applyFill="1" applyBorder="1">
      <alignment horizontal="right" vertical="center" indent="1"/>
    </xf>
    <xf numFmtId="3" fontId="1" fillId="0" borderId="18" xfId="18" applyNumberFormat="1" applyFont="1" applyFill="1" applyBorder="1">
      <alignment horizontal="right" vertical="center" indent="1"/>
    </xf>
    <xf numFmtId="3" fontId="1" fillId="0" borderId="19" xfId="18" applyNumberFormat="1" applyFont="1" applyFill="1" applyBorder="1">
      <alignment horizontal="right" vertical="center" indent="1"/>
    </xf>
    <xf numFmtId="3" fontId="1" fillId="0" borderId="20" xfId="18" applyNumberFormat="1" applyFont="1" applyFill="1" applyBorder="1">
      <alignment horizontal="right" vertical="center" indent="1"/>
    </xf>
    <xf numFmtId="3" fontId="1" fillId="0" borderId="21" xfId="18" applyNumberFormat="1" applyFont="1" applyFill="1" applyBorder="1">
      <alignment horizontal="right" vertical="center" indent="1"/>
    </xf>
    <xf numFmtId="0" fontId="4" fillId="0" borderId="10" xfId="17" applyFont="1" applyFill="1" applyBorder="1" applyAlignment="1">
      <alignment horizontal="center" vertical="center" wrapText="1" readingOrder="2"/>
    </xf>
    <xf numFmtId="164" fontId="14" fillId="0" borderId="11" xfId="18" applyNumberFormat="1" applyFont="1" applyFill="1" applyBorder="1">
      <alignment horizontal="right" vertical="center" indent="1"/>
    </xf>
    <xf numFmtId="0" fontId="14" fillId="0" borderId="12" xfId="17" applyFont="1" applyFill="1" applyBorder="1" applyAlignment="1">
      <alignment horizontal="center" vertical="center" wrapText="1" readingOrder="1"/>
    </xf>
    <xf numFmtId="3" fontId="14" fillId="3" borderId="23" xfId="17" applyNumberFormat="1" applyFont="1" applyFill="1" applyBorder="1" applyAlignment="1">
      <alignment horizontal="left" vertical="center" wrapText="1" indent="1"/>
    </xf>
    <xf numFmtId="3" fontId="14" fillId="0" borderId="9" xfId="18" applyNumberFormat="1" applyFont="1" applyFill="1" applyBorder="1">
      <alignment horizontal="right" vertical="center" indent="1"/>
    </xf>
    <xf numFmtId="0" fontId="4" fillId="0" borderId="50" xfId="17" applyFont="1" applyFill="1" applyBorder="1" applyAlignment="1">
      <alignment horizontal="center" vertical="center" wrapText="1" readingOrder="2"/>
    </xf>
    <xf numFmtId="0" fontId="4" fillId="3" borderId="51" xfId="17" applyFont="1" applyFill="1" applyBorder="1" applyAlignment="1">
      <alignment horizontal="center" vertical="center" wrapText="1" readingOrder="2"/>
    </xf>
    <xf numFmtId="0" fontId="4" fillId="0" borderId="51" xfId="17" applyFont="1" applyFill="1" applyBorder="1" applyAlignment="1">
      <alignment horizontal="center" vertical="center" wrapText="1" readingOrder="2"/>
    </xf>
    <xf numFmtId="164" fontId="14" fillId="0" borderId="7" xfId="18" applyNumberFormat="1" applyFont="1" applyFill="1" applyBorder="1">
      <alignment horizontal="right" vertical="center" indent="1"/>
    </xf>
    <xf numFmtId="164" fontId="14" fillId="3" borderId="16" xfId="18" applyNumberFormat="1" applyFont="1" applyFill="1" applyBorder="1">
      <alignment horizontal="right" vertical="center" indent="1"/>
    </xf>
    <xf numFmtId="164" fontId="14" fillId="0" borderId="16" xfId="18" applyNumberFormat="1" applyFont="1" applyFill="1" applyBorder="1">
      <alignment horizontal="right" vertical="center" indent="1"/>
    </xf>
    <xf numFmtId="0" fontId="4" fillId="3" borderId="47" xfId="17" applyFont="1" applyFill="1" applyBorder="1" applyAlignment="1">
      <alignment horizontal="center" vertical="center" wrapText="1" readingOrder="2"/>
    </xf>
    <xf numFmtId="164" fontId="14" fillId="3" borderId="19" xfId="18" applyNumberFormat="1" applyFont="1" applyFill="1" applyBorder="1">
      <alignment horizontal="right" vertical="center" indent="1"/>
    </xf>
    <xf numFmtId="3" fontId="14" fillId="0" borderId="8" xfId="17" applyNumberFormat="1" applyFont="1" applyFill="1" applyBorder="1" applyAlignment="1">
      <alignment horizontal="left" vertical="center" wrapText="1" indent="1"/>
    </xf>
    <xf numFmtId="164" fontId="14" fillId="0" borderId="8" xfId="17" applyNumberFormat="1" applyFont="1" applyFill="1" applyBorder="1" applyAlignment="1">
      <alignment horizontal="left" vertical="center" wrapText="1" indent="1"/>
    </xf>
    <xf numFmtId="164" fontId="14" fillId="0" borderId="11" xfId="17" applyNumberFormat="1" applyFont="1" applyFill="1" applyBorder="1" applyAlignment="1">
      <alignment horizontal="left" vertical="center" wrapText="1" indent="1"/>
    </xf>
    <xf numFmtId="3" fontId="14" fillId="0" borderId="14" xfId="17" applyNumberFormat="1" applyFont="1" applyFill="1" applyBorder="1" applyAlignment="1">
      <alignment horizontal="left" vertical="center" wrapText="1" indent="1"/>
    </xf>
    <xf numFmtId="3" fontId="57" fillId="0" borderId="14" xfId="1" applyNumberFormat="1" applyFont="1" applyFill="1" applyBorder="1" applyAlignment="1">
      <alignment horizontal="right" vertical="center" indent="1" readingOrder="1"/>
    </xf>
    <xf numFmtId="3" fontId="57" fillId="0" borderId="41" xfId="1" applyNumberFormat="1" applyFont="1" applyFill="1" applyBorder="1" applyAlignment="1">
      <alignment horizontal="right" vertical="center" indent="1" readingOrder="1"/>
    </xf>
    <xf numFmtId="0" fontId="59" fillId="0" borderId="19" xfId="17" applyFont="1" applyFill="1" applyBorder="1" applyAlignment="1">
      <alignment horizontal="center" vertical="center" wrapText="1" readingOrder="2"/>
    </xf>
    <xf numFmtId="3" fontId="57" fillId="0" borderId="20" xfId="1" applyNumberFormat="1" applyFont="1" applyFill="1" applyBorder="1" applyAlignment="1">
      <alignment horizontal="right" vertical="center" indent="1" readingOrder="1"/>
    </xf>
    <xf numFmtId="0" fontId="58" fillId="0" borderId="21" xfId="17" applyFont="1" applyFill="1" applyBorder="1" applyAlignment="1">
      <alignment horizontal="center" vertical="center" wrapText="1" readingOrder="1"/>
    </xf>
    <xf numFmtId="0" fontId="57" fillId="0" borderId="14" xfId="1" applyFont="1" applyFill="1" applyBorder="1" applyAlignment="1">
      <alignment horizontal="right" vertical="center" indent="1" readingOrder="1"/>
    </xf>
    <xf numFmtId="0" fontId="57" fillId="0" borderId="41" xfId="1" applyFont="1" applyFill="1" applyBorder="1" applyAlignment="1">
      <alignment horizontal="right" vertical="center" indent="1" readingOrder="1"/>
    </xf>
    <xf numFmtId="0" fontId="60" fillId="0" borderId="13" xfId="1" applyFont="1" applyFill="1" applyBorder="1" applyAlignment="1">
      <alignment horizontal="right" vertical="center" wrapText="1" indent="1" readingOrder="2"/>
    </xf>
    <xf numFmtId="0" fontId="15" fillId="0" borderId="13" xfId="1" applyFont="1" applyFill="1" applyBorder="1" applyAlignment="1">
      <alignment horizontal="right" vertical="center" indent="1" readingOrder="1"/>
    </xf>
    <xf numFmtId="0" fontId="60" fillId="0" borderId="13" xfId="1" applyFont="1" applyFill="1" applyBorder="1" applyAlignment="1">
      <alignment horizontal="right" vertical="center" indent="1" readingOrder="1"/>
    </xf>
    <xf numFmtId="0" fontId="60" fillId="0" borderId="42" xfId="1" applyFont="1" applyFill="1" applyBorder="1" applyAlignment="1">
      <alignment horizontal="right" vertical="center" indent="1" readingOrder="1"/>
    </xf>
    <xf numFmtId="3" fontId="57" fillId="0" borderId="13" xfId="1" applyNumberFormat="1" applyFont="1" applyFill="1" applyBorder="1" applyAlignment="1">
      <alignment horizontal="right" vertical="center" indent="1" readingOrder="1"/>
    </xf>
    <xf numFmtId="3" fontId="57" fillId="0" borderId="42" xfId="1" applyNumberFormat="1" applyFont="1" applyFill="1" applyBorder="1" applyAlignment="1">
      <alignment horizontal="right" vertical="center" indent="1" readingOrder="1"/>
    </xf>
    <xf numFmtId="3" fontId="1" fillId="0" borderId="7" xfId="1" applyNumberFormat="1" applyFont="1" applyFill="1" applyBorder="1" applyAlignment="1">
      <alignment horizontal="right" vertical="center" indent="1" readingOrder="1"/>
    </xf>
    <xf numFmtId="0" fontId="14" fillId="6" borderId="49" xfId="17" applyFont="1" applyFill="1" applyBorder="1" applyAlignment="1">
      <alignment horizontal="center" vertical="center" wrapText="1" readingOrder="2"/>
    </xf>
    <xf numFmtId="3" fontId="14" fillId="6" borderId="41" xfId="17" applyNumberFormat="1" applyFont="1" applyFill="1" applyBorder="1" applyAlignment="1">
      <alignment horizontal="left" vertical="center" wrapText="1" indent="1" readingOrder="1"/>
    </xf>
    <xf numFmtId="164" fontId="14" fillId="6" borderId="30" xfId="17" applyNumberFormat="1" applyFont="1" applyFill="1" applyBorder="1" applyAlignment="1">
      <alignment horizontal="left" vertical="center" wrapText="1" indent="1" readingOrder="1"/>
    </xf>
    <xf numFmtId="0" fontId="8" fillId="6" borderId="48" xfId="17" applyFont="1" applyFill="1" applyBorder="1" applyAlignment="1">
      <alignment horizontal="center" vertical="center" wrapText="1" readingOrder="1"/>
    </xf>
    <xf numFmtId="0" fontId="14" fillId="6" borderId="44" xfId="17" applyFont="1" applyFill="1" applyBorder="1" applyAlignment="1">
      <alignment horizontal="center" vertical="center" wrapText="1" readingOrder="2"/>
    </xf>
    <xf numFmtId="164" fontId="14" fillId="6" borderId="31" xfId="17" applyNumberFormat="1" applyFont="1" applyFill="1" applyBorder="1" applyAlignment="1">
      <alignment horizontal="left" vertical="center" wrapText="1" indent="1" readingOrder="1"/>
    </xf>
    <xf numFmtId="0" fontId="14" fillId="6" borderId="45" xfId="17" applyFont="1" applyFill="1" applyBorder="1" applyAlignment="1">
      <alignment horizontal="left" vertical="center" wrapText="1" indent="1" readingOrder="1"/>
    </xf>
    <xf numFmtId="0" fontId="8" fillId="6" borderId="45" xfId="17" applyFont="1" applyFill="1" applyBorder="1" applyAlignment="1">
      <alignment horizontal="center" vertical="center" wrapText="1" readingOrder="1"/>
    </xf>
    <xf numFmtId="0" fontId="57" fillId="0" borderId="13" xfId="1" applyFont="1" applyFill="1" applyBorder="1" applyAlignment="1">
      <alignment horizontal="right" vertical="center" indent="1" readingOrder="1"/>
    </xf>
    <xf numFmtId="0" fontId="57" fillId="0" borderId="42" xfId="1" applyFont="1" applyFill="1" applyBorder="1" applyAlignment="1">
      <alignment horizontal="right" vertical="center" indent="1" readingOrder="1"/>
    </xf>
    <xf numFmtId="164" fontId="14" fillId="3" borderId="18" xfId="1" applyNumberFormat="1" applyFont="1" applyFill="1" applyBorder="1" applyAlignment="1">
      <alignment horizontal="right" vertical="center" indent="1" readingOrder="1"/>
    </xf>
    <xf numFmtId="164" fontId="14" fillId="0" borderId="18" xfId="1" applyNumberFormat="1" applyFont="1" applyFill="1" applyBorder="1" applyAlignment="1">
      <alignment horizontal="right" vertical="center" indent="1" readingOrder="1"/>
    </xf>
    <xf numFmtId="0" fontId="1" fillId="0" borderId="7" xfId="1" applyFont="1" applyFill="1" applyBorder="1" applyAlignment="1">
      <alignment horizontal="right" vertical="center" indent="1" readingOrder="1"/>
    </xf>
    <xf numFmtId="0" fontId="1" fillId="0" borderId="8" xfId="1" applyFont="1" applyFill="1" applyBorder="1" applyAlignment="1">
      <alignment horizontal="right" vertical="center" indent="1" readingOrder="1"/>
    </xf>
    <xf numFmtId="0" fontId="14" fillId="0" borderId="9" xfId="1" applyFont="1" applyFill="1" applyBorder="1" applyAlignment="1">
      <alignment horizontal="right" vertical="center" indent="1" readingOrder="1"/>
    </xf>
    <xf numFmtId="164" fontId="14" fillId="0" borderId="9" xfId="1" applyNumberFormat="1" applyFont="1" applyFill="1" applyBorder="1" applyAlignment="1">
      <alignment horizontal="right" vertical="center" indent="1" readingOrder="1"/>
    </xf>
    <xf numFmtId="0" fontId="15" fillId="3" borderId="10" xfId="1" applyFont="1" applyFill="1" applyBorder="1" applyAlignment="1">
      <alignment horizontal="right" vertical="center" wrapText="1" indent="1" readingOrder="2"/>
    </xf>
    <xf numFmtId="0" fontId="57" fillId="0" borderId="44" xfId="1" applyFont="1" applyFill="1" applyBorder="1" applyAlignment="1">
      <alignment horizontal="right" vertical="center" indent="1" readingOrder="1"/>
    </xf>
    <xf numFmtId="0" fontId="57" fillId="0" borderId="31" xfId="1" applyFont="1" applyFill="1" applyBorder="1" applyAlignment="1">
      <alignment horizontal="right" vertical="center" indent="1" readingOrder="1"/>
    </xf>
    <xf numFmtId="164" fontId="14" fillId="3" borderId="12" xfId="1" applyNumberFormat="1" applyFont="1" applyFill="1" applyBorder="1" applyAlignment="1">
      <alignment horizontal="right" vertical="center" indent="1" readingOrder="1"/>
    </xf>
    <xf numFmtId="0" fontId="1" fillId="3" borderId="12" xfId="1" applyFont="1" applyFill="1" applyBorder="1" applyAlignment="1">
      <alignment horizontal="left" vertical="center" wrapText="1" indent="1" readingOrder="1"/>
    </xf>
    <xf numFmtId="0" fontId="4" fillId="6" borderId="49" xfId="1" applyFont="1" applyFill="1" applyBorder="1" applyAlignment="1">
      <alignment horizontal="center" vertical="center" readingOrder="2"/>
    </xf>
    <xf numFmtId="0" fontId="14" fillId="6" borderId="48" xfId="1" applyFont="1" applyFill="1" applyBorder="1" applyAlignment="1">
      <alignment horizontal="center" vertical="center" readingOrder="1"/>
    </xf>
    <xf numFmtId="0" fontId="4" fillId="6" borderId="44" xfId="1" applyFont="1" applyFill="1" applyBorder="1" applyAlignment="1">
      <alignment horizontal="center" vertical="center" readingOrder="2"/>
    </xf>
    <xf numFmtId="0" fontId="14" fillId="6" borderId="45" xfId="1" applyFont="1" applyFill="1" applyBorder="1" applyAlignment="1">
      <alignment vertical="center" readingOrder="1"/>
    </xf>
    <xf numFmtId="0" fontId="14" fillId="6" borderId="45" xfId="1" applyFont="1" applyFill="1" applyBorder="1" applyAlignment="1">
      <alignment horizontal="center" vertical="center" readingOrder="1"/>
    </xf>
    <xf numFmtId="3" fontId="14" fillId="6" borderId="30" xfId="17" applyNumberFormat="1" applyFont="1" applyFill="1" applyBorder="1" applyAlignment="1">
      <alignment horizontal="left" vertical="center" wrapText="1" indent="1" readingOrder="1"/>
    </xf>
    <xf numFmtId="0" fontId="4" fillId="6" borderId="42" xfId="1" applyFont="1" applyFill="1" applyBorder="1" applyAlignment="1">
      <alignment horizontal="center" vertical="center" readingOrder="2"/>
    </xf>
    <xf numFmtId="164" fontId="14" fillId="6" borderId="41" xfId="17" applyNumberFormat="1" applyFont="1" applyFill="1" applyBorder="1" applyAlignment="1">
      <alignment horizontal="left" vertical="center" wrapText="1" indent="1" readingOrder="1"/>
    </xf>
    <xf numFmtId="0" fontId="15" fillId="0" borderId="42" xfId="1" applyFont="1" applyFill="1" applyBorder="1" applyAlignment="1">
      <alignment horizontal="center" vertical="center" wrapText="1" readingOrder="2"/>
    </xf>
    <xf numFmtId="0" fontId="14" fillId="0" borderId="15" xfId="1" applyFont="1" applyFill="1" applyBorder="1" applyAlignment="1">
      <alignment horizontal="center" vertical="center" wrapText="1" readingOrder="1"/>
    </xf>
    <xf numFmtId="0" fontId="14" fillId="3" borderId="18" xfId="1" applyFont="1" applyFill="1" applyBorder="1" applyAlignment="1">
      <alignment horizontal="center" vertical="center" wrapText="1" readingOrder="1"/>
    </xf>
    <xf numFmtId="0" fontId="14" fillId="0" borderId="40" xfId="1" applyFont="1" applyFill="1" applyBorder="1" applyAlignment="1">
      <alignment horizontal="center" vertical="center" wrapText="1" readingOrder="1"/>
    </xf>
    <xf numFmtId="0" fontId="15" fillId="6" borderId="49" xfId="1" applyFont="1" applyFill="1" applyBorder="1" applyAlignment="1">
      <alignment horizontal="center" vertical="center" wrapText="1" readingOrder="2"/>
    </xf>
    <xf numFmtId="0" fontId="14" fillId="6" borderId="41" xfId="1" applyFont="1" applyFill="1" applyBorder="1" applyAlignment="1">
      <alignment horizontal="right" vertical="center" indent="1" readingOrder="1"/>
    </xf>
    <xf numFmtId="164" fontId="14" fillId="6" borderId="30" xfId="1" applyNumberFormat="1" applyFont="1" applyFill="1" applyBorder="1" applyAlignment="1">
      <alignment horizontal="right" vertical="center" indent="1" readingOrder="1"/>
    </xf>
    <xf numFmtId="0" fontId="14" fillId="6" borderId="48" xfId="1" applyFont="1" applyFill="1" applyBorder="1" applyAlignment="1">
      <alignment horizontal="center" vertical="center" wrapText="1" readingOrder="1"/>
    </xf>
    <xf numFmtId="0" fontId="15" fillId="6" borderId="44" xfId="1" applyFont="1" applyFill="1" applyBorder="1" applyAlignment="1">
      <alignment horizontal="center" vertical="center" wrapText="1" readingOrder="2"/>
    </xf>
    <xf numFmtId="164" fontId="14" fillId="6" borderId="31" xfId="1" applyNumberFormat="1" applyFont="1" applyFill="1" applyBorder="1" applyAlignment="1">
      <alignment horizontal="right" vertical="center" indent="1" readingOrder="1"/>
    </xf>
    <xf numFmtId="164" fontId="14" fillId="6" borderId="45" xfId="1" applyNumberFormat="1" applyFont="1" applyFill="1" applyBorder="1" applyAlignment="1">
      <alignment horizontal="center" vertical="center" readingOrder="1"/>
    </xf>
    <xf numFmtId="0" fontId="15" fillId="0" borderId="46" xfId="1" applyFont="1" applyFill="1" applyBorder="1" applyAlignment="1">
      <alignment horizontal="center" vertical="center" wrapText="1" readingOrder="2"/>
    </xf>
    <xf numFmtId="0" fontId="15" fillId="3" borderId="51" xfId="1" applyFont="1" applyFill="1" applyBorder="1" applyAlignment="1">
      <alignment horizontal="center" vertical="center" wrapText="1" readingOrder="2"/>
    </xf>
    <xf numFmtId="164" fontId="14" fillId="0" borderId="13" xfId="1" applyNumberFormat="1" applyFont="1" applyFill="1" applyBorder="1" applyAlignment="1">
      <alignment horizontal="right" vertical="center" indent="1" readingOrder="1"/>
    </xf>
    <xf numFmtId="164" fontId="14" fillId="3" borderId="16" xfId="1" applyNumberFormat="1" applyFont="1" applyFill="1" applyBorder="1" applyAlignment="1">
      <alignment horizontal="right" vertical="center" indent="1" readingOrder="1"/>
    </xf>
    <xf numFmtId="0" fontId="15" fillId="6" borderId="42" xfId="1" applyFont="1" applyFill="1" applyBorder="1" applyAlignment="1">
      <alignment horizontal="center" vertical="center" wrapText="1" readingOrder="2"/>
    </xf>
    <xf numFmtId="164" fontId="14" fillId="6" borderId="41" xfId="1" applyNumberFormat="1" applyFont="1" applyFill="1" applyBorder="1" applyAlignment="1">
      <alignment horizontal="right" vertical="center" indent="1" readingOrder="1"/>
    </xf>
    <xf numFmtId="0" fontId="14" fillId="6" borderId="40" xfId="1" applyFont="1" applyFill="1" applyBorder="1" applyAlignment="1">
      <alignment horizontal="center" vertical="center" wrapText="1" readingOrder="1"/>
    </xf>
    <xf numFmtId="0" fontId="15" fillId="0" borderId="50" xfId="1" applyFont="1" applyFill="1" applyBorder="1" applyAlignment="1">
      <alignment horizontal="center" vertical="center" wrapText="1" readingOrder="2"/>
    </xf>
    <xf numFmtId="164" fontId="14" fillId="0" borderId="7" xfId="1" applyNumberFormat="1" applyFont="1" applyFill="1" applyBorder="1" applyAlignment="1">
      <alignment horizontal="right" vertical="center" indent="1" readingOrder="1"/>
    </xf>
    <xf numFmtId="0" fontId="14" fillId="0" borderId="9" xfId="1" applyFont="1" applyFill="1" applyBorder="1" applyAlignment="1">
      <alignment horizontal="center" vertical="center" wrapText="1" readingOrder="1"/>
    </xf>
    <xf numFmtId="0" fontId="15" fillId="0" borderId="29" xfId="1" applyFont="1" applyFill="1" applyBorder="1" applyAlignment="1">
      <alignment horizontal="center" vertical="center" wrapText="1" readingOrder="2"/>
    </xf>
    <xf numFmtId="164" fontId="14" fillId="0" borderId="44" xfId="1" applyNumberFormat="1" applyFont="1" applyFill="1" applyBorder="1" applyAlignment="1">
      <alignment horizontal="right" vertical="center" indent="1" readingOrder="1"/>
    </xf>
    <xf numFmtId="0" fontId="14" fillId="0" borderId="45" xfId="1" applyFont="1" applyFill="1" applyBorder="1" applyAlignment="1">
      <alignment horizontal="center" vertical="center" wrapText="1" readingOrder="1"/>
    </xf>
    <xf numFmtId="0" fontId="61" fillId="0" borderId="14" xfId="1" applyFont="1" applyFill="1" applyBorder="1" applyAlignment="1">
      <alignment horizontal="right" vertical="center" indent="1" readingOrder="1"/>
    </xf>
    <xf numFmtId="0" fontId="60" fillId="0" borderId="14" xfId="1" applyFont="1" applyFill="1" applyBorder="1" applyAlignment="1">
      <alignment horizontal="right" vertical="center" indent="1" readingOrder="1"/>
    </xf>
    <xf numFmtId="0" fontId="61" fillId="0" borderId="41" xfId="1" applyFont="1" applyFill="1" applyBorder="1" applyAlignment="1">
      <alignment horizontal="right" vertical="center" indent="1" readingOrder="1"/>
    </xf>
    <xf numFmtId="0" fontId="60" fillId="0" borderId="41" xfId="1" applyFont="1" applyFill="1" applyBorder="1" applyAlignment="1">
      <alignment horizontal="right" vertical="center" indent="1" readingOrder="1"/>
    </xf>
    <xf numFmtId="0" fontId="57" fillId="0" borderId="15" xfId="1" applyFont="1" applyFill="1" applyBorder="1" applyAlignment="1">
      <alignment horizontal="left" vertical="center" wrapText="1" indent="1" readingOrder="1"/>
    </xf>
    <xf numFmtId="0" fontId="1" fillId="0" borderId="15" xfId="1" applyFont="1" applyFill="1" applyBorder="1" applyAlignment="1">
      <alignment horizontal="right" vertical="center" indent="1" readingOrder="1"/>
    </xf>
    <xf numFmtId="0" fontId="1" fillId="0" borderId="0" xfId="1" applyAlignment="1">
      <alignment horizontal="left"/>
    </xf>
    <xf numFmtId="0" fontId="4" fillId="6" borderId="7" xfId="1" applyFont="1" applyFill="1" applyBorder="1" applyAlignment="1">
      <alignment horizontal="center" vertical="center" wrapText="1" readingOrder="2"/>
    </xf>
    <xf numFmtId="1" fontId="5" fillId="6" borderId="9" xfId="1" applyNumberFormat="1" applyFont="1" applyFill="1" applyBorder="1" applyAlignment="1">
      <alignment horizontal="center" vertical="center" wrapText="1" readingOrder="1"/>
    </xf>
    <xf numFmtId="164" fontId="14" fillId="6" borderId="11" xfId="1" applyNumberFormat="1" applyFont="1" applyFill="1" applyBorder="1" applyAlignment="1">
      <alignment horizontal="right" vertical="center" indent="1" readingOrder="1"/>
    </xf>
    <xf numFmtId="1" fontId="14" fillId="6" borderId="11" xfId="1" applyNumberFormat="1" applyFont="1" applyFill="1" applyBorder="1" applyAlignment="1">
      <alignment vertical="center" readingOrder="1"/>
    </xf>
    <xf numFmtId="0" fontId="14" fillId="6" borderId="12" xfId="1" applyFont="1" applyFill="1" applyBorder="1" applyAlignment="1">
      <alignment horizontal="center" vertical="center" wrapText="1" readingOrder="1"/>
    </xf>
    <xf numFmtId="0" fontId="4" fillId="6" borderId="7" xfId="1" applyFont="1" applyFill="1" applyBorder="1" applyAlignment="1">
      <alignment horizontal="center" vertical="center" readingOrder="2"/>
    </xf>
    <xf numFmtId="1" fontId="14" fillId="6" borderId="8" xfId="1" applyNumberFormat="1" applyFont="1" applyFill="1" applyBorder="1" applyAlignment="1">
      <alignment horizontal="right" vertical="center" indent="1" readingOrder="1"/>
    </xf>
    <xf numFmtId="0" fontId="14" fillId="6" borderId="9" xfId="1" applyFont="1" applyFill="1" applyBorder="1" applyAlignment="1">
      <alignment horizontal="center" vertical="center" readingOrder="1"/>
    </xf>
    <xf numFmtId="164" fontId="14" fillId="6" borderId="8" xfId="1" applyNumberFormat="1" applyFont="1" applyFill="1" applyBorder="1" applyAlignment="1">
      <alignment horizontal="right" vertical="center" indent="1" readingOrder="1"/>
    </xf>
    <xf numFmtId="164" fontId="14" fillId="6" borderId="17" xfId="1" applyNumberFormat="1" applyFont="1" applyFill="1" applyBorder="1" applyAlignment="1">
      <alignment horizontal="right" vertical="center" indent="1" readingOrder="1"/>
    </xf>
    <xf numFmtId="0" fontId="53" fillId="6" borderId="8" xfId="1" applyFont="1" applyFill="1" applyBorder="1" applyAlignment="1">
      <alignment horizontal="left" vertical="center" wrapText="1" indent="1" readingOrder="1"/>
    </xf>
    <xf numFmtId="0" fontId="53" fillId="3" borderId="17" xfId="1" applyFont="1" applyFill="1" applyBorder="1" applyAlignment="1">
      <alignment horizontal="left" vertical="center" wrapText="1" indent="1" readingOrder="1"/>
    </xf>
    <xf numFmtId="0" fontId="53" fillId="6" borderId="17" xfId="1" applyFont="1" applyFill="1" applyBorder="1" applyAlignment="1">
      <alignment horizontal="left" vertical="center" wrapText="1" indent="1" readingOrder="1"/>
    </xf>
    <xf numFmtId="0" fontId="53" fillId="3" borderId="20" xfId="1" applyFont="1" applyFill="1" applyBorder="1" applyAlignment="1">
      <alignment horizontal="left" vertical="center" wrapText="1" indent="1" readingOrder="1"/>
    </xf>
    <xf numFmtId="1" fontId="1" fillId="0" borderId="0" xfId="1" applyNumberFormat="1"/>
    <xf numFmtId="0" fontId="15" fillId="0" borderId="7" xfId="1" applyFont="1" applyFill="1" applyBorder="1" applyAlignment="1">
      <alignment horizontal="center" vertical="center" wrapText="1" readingOrder="2"/>
    </xf>
    <xf numFmtId="0" fontId="17" fillId="0" borderId="9" xfId="1" applyFont="1" applyFill="1" applyBorder="1" applyAlignment="1">
      <alignment horizontal="center" vertical="center" wrapText="1" readingOrder="1"/>
    </xf>
    <xf numFmtId="0" fontId="17" fillId="6" borderId="9" xfId="1" applyFont="1" applyFill="1" applyBorder="1" applyAlignment="1">
      <alignment horizontal="center" vertical="center" wrapText="1" readingOrder="1"/>
    </xf>
    <xf numFmtId="0" fontId="14" fillId="6" borderId="8" xfId="1" applyFont="1" applyFill="1" applyBorder="1" applyAlignment="1">
      <alignment horizontal="right" vertical="center" indent="1" readingOrder="1"/>
    </xf>
    <xf numFmtId="0" fontId="14" fillId="6" borderId="14" xfId="1" applyFont="1" applyFill="1" applyBorder="1" applyAlignment="1">
      <alignment horizontal="right" vertical="center" indent="1" readingOrder="1"/>
    </xf>
    <xf numFmtId="0" fontId="1" fillId="6" borderId="15" xfId="1" applyFont="1" applyFill="1" applyBorder="1" applyAlignment="1">
      <alignment horizontal="left" vertical="center" wrapText="1" indent="1" readingOrder="1"/>
    </xf>
    <xf numFmtId="0" fontId="1" fillId="6" borderId="14" xfId="1" applyFont="1" applyFill="1" applyBorder="1" applyAlignment="1">
      <alignment horizontal="left" vertical="center" wrapText="1" indent="1" readingOrder="1"/>
    </xf>
    <xf numFmtId="0" fontId="1" fillId="3" borderId="17" xfId="1" applyFont="1" applyFill="1" applyBorder="1" applyAlignment="1">
      <alignment horizontal="left" vertical="center" wrapText="1" indent="1" readingOrder="1"/>
    </xf>
    <xf numFmtId="0" fontId="1" fillId="6" borderId="17" xfId="1" applyFont="1" applyFill="1" applyBorder="1" applyAlignment="1">
      <alignment horizontal="left" vertical="center" wrapText="1" indent="1" readingOrder="1"/>
    </xf>
    <xf numFmtId="0" fontId="1" fillId="3" borderId="20" xfId="1" applyFont="1" applyFill="1" applyBorder="1" applyAlignment="1">
      <alignment horizontal="left" vertical="center" wrapText="1" indent="1" readingOrder="1"/>
    </xf>
    <xf numFmtId="0" fontId="1" fillId="6" borderId="8" xfId="1" applyFont="1" applyFill="1" applyBorder="1" applyAlignment="1">
      <alignment horizontal="left" vertical="center" wrapText="1" indent="1" readingOrder="1"/>
    </xf>
    <xf numFmtId="0" fontId="1" fillId="0" borderId="40" xfId="1" applyFont="1" applyFill="1" applyBorder="1" applyAlignment="1">
      <alignment horizontal="right" vertical="center" indent="1" readingOrder="1"/>
    </xf>
    <xf numFmtId="0" fontId="1" fillId="0" borderId="41" xfId="1" applyFont="1" applyFill="1" applyBorder="1" applyAlignment="1">
      <alignment horizontal="right" vertical="center" indent="1" readingOrder="1"/>
    </xf>
    <xf numFmtId="0" fontId="4" fillId="3" borderId="49" xfId="1" applyFont="1" applyFill="1" applyBorder="1" applyAlignment="1">
      <alignment horizontal="center" vertical="center" readingOrder="2"/>
    </xf>
    <xf numFmtId="0" fontId="14" fillId="3" borderId="41" xfId="1" applyFont="1" applyFill="1" applyBorder="1" applyAlignment="1">
      <alignment horizontal="right" vertical="center" indent="1" readingOrder="1"/>
    </xf>
    <xf numFmtId="164" fontId="14" fillId="3" borderId="30" xfId="1" applyNumberFormat="1" applyFont="1" applyFill="1" applyBorder="1" applyAlignment="1">
      <alignment horizontal="right" vertical="center" indent="1" readingOrder="1"/>
    </xf>
    <xf numFmtId="164" fontId="14" fillId="3" borderId="31" xfId="1" applyNumberFormat="1" applyFont="1" applyFill="1" applyBorder="1" applyAlignment="1">
      <alignment horizontal="right" vertical="center" indent="1" readingOrder="1"/>
    </xf>
    <xf numFmtId="1" fontId="14" fillId="3" borderId="44" xfId="1" applyNumberFormat="1" applyFont="1" applyFill="1" applyBorder="1" applyAlignment="1">
      <alignment vertical="center" readingOrder="1"/>
    </xf>
    <xf numFmtId="0" fontId="14" fillId="3" borderId="45" xfId="1" applyFont="1" applyFill="1" applyBorder="1" applyAlignment="1">
      <alignment horizontal="center" vertical="center" readingOrder="1"/>
    </xf>
    <xf numFmtId="0" fontId="14" fillId="3" borderId="48" xfId="1" applyFont="1" applyFill="1" applyBorder="1" applyAlignment="1">
      <alignment horizontal="center" vertical="center" readingOrder="1"/>
    </xf>
    <xf numFmtId="0" fontId="1" fillId="0" borderId="46" xfId="1" applyFont="1" applyFill="1" applyBorder="1" applyAlignment="1">
      <alignment horizontal="right" vertical="center" indent="1" readingOrder="1"/>
    </xf>
    <xf numFmtId="0" fontId="1" fillId="0" borderId="0" xfId="1" applyFont="1" applyFill="1" applyBorder="1" applyAlignment="1">
      <alignment horizontal="right" vertical="center" indent="1" readingOrder="1"/>
    </xf>
    <xf numFmtId="0" fontId="14" fillId="0" borderId="46" xfId="1" applyFont="1" applyFill="1" applyBorder="1" applyAlignment="1">
      <alignment horizontal="right" vertical="center" indent="1" readingOrder="1"/>
    </xf>
    <xf numFmtId="0" fontId="4" fillId="3" borderId="42" xfId="1" applyFont="1" applyFill="1" applyBorder="1" applyAlignment="1">
      <alignment horizontal="center" vertical="center" readingOrder="2"/>
    </xf>
    <xf numFmtId="0" fontId="1" fillId="0" borderId="50" xfId="1" applyFont="1" applyFill="1" applyBorder="1" applyAlignment="1">
      <alignment horizontal="right" vertical="center" indent="1" readingOrder="1"/>
    </xf>
    <xf numFmtId="0" fontId="14" fillId="0" borderId="50" xfId="1" applyFont="1" applyFill="1" applyBorder="1" applyAlignment="1">
      <alignment horizontal="right" vertical="center" indent="1" readingOrder="1"/>
    </xf>
    <xf numFmtId="0" fontId="15" fillId="0" borderId="10" xfId="1" applyFont="1" applyFill="1" applyBorder="1" applyAlignment="1">
      <alignment horizontal="center" vertical="center" wrapText="1" readingOrder="2"/>
    </xf>
    <xf numFmtId="0" fontId="1" fillId="0" borderId="29" xfId="1" applyFont="1" applyFill="1" applyBorder="1" applyAlignment="1">
      <alignment horizontal="right" vertical="center" indent="1" readingOrder="1"/>
    </xf>
    <xf numFmtId="0" fontId="1" fillId="0" borderId="31" xfId="1" applyFont="1" applyFill="1" applyBorder="1" applyAlignment="1">
      <alignment horizontal="right" vertical="center" indent="1" readingOrder="1"/>
    </xf>
    <xf numFmtId="0" fontId="17" fillId="0" borderId="12" xfId="1" applyFont="1" applyFill="1" applyBorder="1" applyAlignment="1">
      <alignment horizontal="center" vertical="center" wrapText="1" readingOrder="1"/>
    </xf>
    <xf numFmtId="0" fontId="15" fillId="0" borderId="51" xfId="1" applyFont="1" applyFill="1" applyBorder="1" applyAlignment="1">
      <alignment horizontal="center" vertical="center" wrapText="1" readingOrder="2"/>
    </xf>
    <xf numFmtId="0" fontId="15" fillId="0" borderId="52" xfId="1" applyFont="1" applyFill="1" applyBorder="1" applyAlignment="1">
      <alignment horizontal="center" vertical="center" wrapText="1" readingOrder="2"/>
    </xf>
    <xf numFmtId="164" fontId="14" fillId="0" borderId="16" xfId="1" applyNumberFormat="1" applyFont="1" applyFill="1" applyBorder="1" applyAlignment="1">
      <alignment horizontal="right" vertical="center" indent="1" readingOrder="1"/>
    </xf>
    <xf numFmtId="164" fontId="14" fillId="0" borderId="10" xfId="1" applyNumberFormat="1" applyFont="1" applyFill="1" applyBorder="1" applyAlignment="1">
      <alignment horizontal="right" vertical="center" indent="1" readingOrder="1"/>
    </xf>
    <xf numFmtId="3" fontId="14" fillId="6" borderId="15" xfId="1" applyNumberFormat="1" applyFont="1" applyFill="1" applyBorder="1" applyAlignment="1">
      <alignment horizontal="right" vertical="center" indent="1" readingOrder="1"/>
    </xf>
    <xf numFmtId="49" fontId="4" fillId="6" borderId="44" xfId="1" applyNumberFormat="1" applyFont="1" applyFill="1" applyBorder="1" applyAlignment="1">
      <alignment horizontal="center" vertical="center" readingOrder="2"/>
    </xf>
    <xf numFmtId="3" fontId="14" fillId="6" borderId="31" xfId="1" applyNumberFormat="1" applyFont="1" applyFill="1" applyBorder="1" applyAlignment="1">
      <alignment horizontal="right" vertical="center" indent="1" readingOrder="1"/>
    </xf>
    <xf numFmtId="49" fontId="4" fillId="6" borderId="45" xfId="1" applyNumberFormat="1" applyFont="1" applyFill="1" applyBorder="1" applyAlignment="1">
      <alignment horizontal="center" vertical="center" readingOrder="1"/>
    </xf>
    <xf numFmtId="3" fontId="64" fillId="0" borderId="14" xfId="1" applyNumberFormat="1" applyFont="1" applyFill="1" applyBorder="1" applyAlignment="1">
      <alignment horizontal="right" vertical="center" indent="1" readingOrder="1"/>
    </xf>
    <xf numFmtId="0" fontId="15" fillId="0" borderId="22" xfId="1" applyFont="1" applyFill="1" applyBorder="1" applyAlignment="1">
      <alignment horizontal="right" vertical="center" wrapText="1" indent="1" readingOrder="2"/>
    </xf>
    <xf numFmtId="0" fontId="14" fillId="0" borderId="24" xfId="1" applyFont="1" applyFill="1" applyBorder="1" applyAlignment="1">
      <alignment horizontal="left" vertical="center" wrapText="1" indent="1" readingOrder="1"/>
    </xf>
    <xf numFmtId="3" fontId="64" fillId="0" borderId="14" xfId="1" applyNumberFormat="1" applyFont="1" applyFill="1" applyBorder="1" applyAlignment="1">
      <alignment horizontal="right" indent="1"/>
    </xf>
    <xf numFmtId="3" fontId="65" fillId="0" borderId="14" xfId="1" applyNumberFormat="1" applyFont="1" applyFill="1" applyBorder="1" applyAlignment="1">
      <alignment horizontal="right" vertical="center" indent="1" readingOrder="1"/>
    </xf>
    <xf numFmtId="0" fontId="1" fillId="6" borderId="14" xfId="1" applyFont="1" applyFill="1" applyBorder="1" applyAlignment="1">
      <alignment horizontal="center" vertical="center" wrapText="1" readingOrder="2"/>
    </xf>
    <xf numFmtId="164" fontId="46" fillId="6" borderId="14" xfId="1" applyNumberFormat="1" applyFont="1" applyFill="1" applyBorder="1" applyAlignment="1">
      <alignment horizontal="center" vertical="center" readingOrder="1"/>
    </xf>
    <xf numFmtId="164" fontId="14" fillId="3" borderId="8" xfId="1" applyNumberFormat="1" applyFont="1" applyFill="1" applyBorder="1" applyAlignment="1">
      <alignment horizontal="right" vertical="center" indent="1" readingOrder="1"/>
    </xf>
    <xf numFmtId="3" fontId="53" fillId="6" borderId="7" xfId="1" applyNumberFormat="1" applyFont="1" applyFill="1" applyBorder="1" applyAlignment="1">
      <alignment horizontal="right" vertical="center" indent="1" readingOrder="1"/>
    </xf>
    <xf numFmtId="0" fontId="1" fillId="0" borderId="0" xfId="1" applyFill="1"/>
    <xf numFmtId="0" fontId="57" fillId="0" borderId="17" xfId="1" applyFont="1" applyFill="1" applyBorder="1" applyAlignment="1">
      <alignment horizontal="right" vertical="center" indent="1" readingOrder="1"/>
    </xf>
    <xf numFmtId="0" fontId="14" fillId="0" borderId="18" xfId="1" applyFont="1" applyFill="1" applyBorder="1" applyAlignment="1">
      <alignment horizontal="center" vertical="center" wrapText="1" readingOrder="1"/>
    </xf>
    <xf numFmtId="0" fontId="57" fillId="0" borderId="20" xfId="1" applyFont="1" applyFill="1" applyBorder="1" applyAlignment="1">
      <alignment horizontal="right" vertical="center" indent="1" readingOrder="1"/>
    </xf>
    <xf numFmtId="0" fontId="14" fillId="0" borderId="12" xfId="1" applyFont="1" applyFill="1" applyBorder="1" applyAlignment="1">
      <alignment horizontal="center" vertical="center" wrapText="1" readingOrder="1"/>
    </xf>
    <xf numFmtId="0" fontId="4" fillId="3" borderId="30" xfId="1" applyFont="1" applyFill="1" applyBorder="1" applyAlignment="1">
      <alignment horizontal="center" vertical="center" wrapText="1" readingOrder="1"/>
    </xf>
    <xf numFmtId="3" fontId="14" fillId="0" borderId="15" xfId="1" applyNumberFormat="1" applyFont="1" applyFill="1" applyBorder="1" applyAlignment="1">
      <alignment horizontal="right" vertical="center" indent="1" readingOrder="1"/>
    </xf>
    <xf numFmtId="0" fontId="4" fillId="3" borderId="41" xfId="1" applyFont="1" applyFill="1" applyBorder="1" applyAlignment="1">
      <alignment horizontal="center" vertical="center" wrapText="1" readingOrder="1"/>
    </xf>
    <xf numFmtId="0" fontId="1" fillId="6" borderId="9" xfId="1" applyFont="1" applyFill="1" applyBorder="1" applyAlignment="1">
      <alignment horizontal="center" vertical="center" wrapText="1" readingOrder="2"/>
    </xf>
    <xf numFmtId="0" fontId="1" fillId="6" borderId="18" xfId="1" applyFont="1" applyFill="1" applyBorder="1" applyAlignment="1">
      <alignment horizontal="center" vertical="center" wrapText="1" readingOrder="2"/>
    </xf>
    <xf numFmtId="0" fontId="1" fillId="3" borderId="18" xfId="1" applyFont="1" applyFill="1" applyBorder="1" applyAlignment="1">
      <alignment horizontal="center" vertical="center" wrapText="1" readingOrder="2"/>
    </xf>
    <xf numFmtId="3" fontId="64" fillId="6" borderId="9" xfId="1" applyNumberFormat="1" applyFont="1" applyFill="1" applyBorder="1" applyAlignment="1">
      <alignment horizontal="right" vertical="center" indent="1" readingOrder="1"/>
    </xf>
    <xf numFmtId="49" fontId="4" fillId="3" borderId="22" xfId="1" applyNumberFormat="1" applyFont="1" applyFill="1" applyBorder="1" applyAlignment="1">
      <alignment horizontal="center" vertical="center" wrapText="1" readingOrder="2"/>
    </xf>
    <xf numFmtId="0" fontId="14" fillId="3" borderId="24" xfId="1" applyFont="1" applyFill="1" applyBorder="1" applyAlignment="1">
      <alignment horizontal="center" vertical="center" wrapText="1" readingOrder="1"/>
    </xf>
    <xf numFmtId="49" fontId="14" fillId="3" borderId="24" xfId="1" applyNumberFormat="1" applyFont="1" applyFill="1" applyBorder="1" applyAlignment="1">
      <alignment horizontal="center" vertical="center" wrapText="1" readingOrder="1"/>
    </xf>
    <xf numFmtId="49" fontId="4" fillId="6" borderId="22" xfId="1" applyNumberFormat="1" applyFont="1" applyFill="1" applyBorder="1" applyAlignment="1">
      <alignment horizontal="center" vertical="center" readingOrder="2"/>
    </xf>
    <xf numFmtId="3" fontId="14" fillId="6" borderId="23" xfId="1" applyNumberFormat="1" applyFont="1" applyFill="1" applyBorder="1" applyAlignment="1">
      <alignment horizontal="right" vertical="center" indent="1" readingOrder="1"/>
    </xf>
    <xf numFmtId="49" fontId="4" fillId="6" borderId="24" xfId="1" applyNumberFormat="1" applyFont="1" applyFill="1" applyBorder="1" applyAlignment="1">
      <alignment horizontal="center" vertical="center" readingOrder="1"/>
    </xf>
    <xf numFmtId="0" fontId="26" fillId="3" borderId="43" xfId="1" applyFont="1" applyFill="1" applyBorder="1" applyAlignment="1">
      <alignment horizontal="center" vertical="center" wrapText="1" readingOrder="2"/>
    </xf>
    <xf numFmtId="0" fontId="50" fillId="3" borderId="43" xfId="1" applyFont="1" applyFill="1" applyBorder="1" applyAlignment="1">
      <alignment horizontal="center" vertical="center" wrapText="1" readingOrder="2"/>
    </xf>
    <xf numFmtId="0" fontId="1" fillId="3" borderId="43" xfId="1" applyFont="1" applyFill="1" applyBorder="1" applyAlignment="1">
      <alignment horizontal="center" vertical="center" wrapText="1" readingOrder="1"/>
    </xf>
    <xf numFmtId="0" fontId="26" fillId="3" borderId="43" xfId="1" applyFont="1" applyFill="1" applyBorder="1" applyAlignment="1">
      <alignment horizontal="center" vertical="center" wrapText="1" readingOrder="2"/>
    </xf>
    <xf numFmtId="0" fontId="1" fillId="3" borderId="43" xfId="1" applyFont="1" applyFill="1" applyBorder="1" applyAlignment="1">
      <alignment horizontal="center" vertical="center" wrapText="1" readingOrder="1"/>
    </xf>
    <xf numFmtId="0" fontId="52" fillId="0" borderId="0" xfId="1" applyFont="1" applyAlignment="1">
      <alignment vertical="center" readingOrder="2"/>
    </xf>
    <xf numFmtId="0" fontId="51" fillId="3" borderId="43" xfId="1" applyFont="1" applyFill="1" applyBorder="1" applyAlignment="1">
      <alignment horizontal="right" vertical="center" wrapText="1" readingOrder="2"/>
    </xf>
    <xf numFmtId="3" fontId="53" fillId="0" borderId="17" xfId="1" applyNumberFormat="1" applyFont="1" applyBorder="1" applyAlignment="1">
      <alignment horizontal="right" vertical="center" indent="1" readingOrder="1"/>
    </xf>
    <xf numFmtId="0" fontId="1" fillId="0" borderId="0" xfId="1" applyFont="1" applyAlignment="1">
      <alignment horizontal="left" vertical="top" wrapText="1" indent="1" readingOrder="1"/>
    </xf>
    <xf numFmtId="0" fontId="12" fillId="0" borderId="0" xfId="1" applyFont="1" applyFill="1" applyBorder="1" applyAlignment="1">
      <alignment horizontal="center" vertical="center" wrapText="1" readingOrder="2"/>
    </xf>
    <xf numFmtId="0" fontId="13" fillId="0" borderId="0" xfId="1" applyFont="1" applyFill="1" applyBorder="1" applyAlignment="1">
      <alignment horizontal="justify" vertical="top" wrapText="1" readingOrder="2"/>
    </xf>
    <xf numFmtId="0" fontId="15" fillId="0" borderId="0" xfId="1" applyFont="1" applyAlignment="1">
      <alignment horizontal="left" vertical="top" wrapText="1" readingOrder="1"/>
    </xf>
    <xf numFmtId="0" fontId="13" fillId="0" borderId="0" xfId="1" applyFont="1" applyAlignment="1">
      <alignment horizontal="right" vertical="top" wrapText="1" readingOrder="2"/>
    </xf>
    <xf numFmtId="0" fontId="15" fillId="0" borderId="0" xfId="1" applyFont="1" applyBorder="1" applyAlignment="1">
      <alignment horizontal="left" vertical="top" wrapText="1" readingOrder="1"/>
    </xf>
    <xf numFmtId="0" fontId="13" fillId="0" borderId="0" xfId="1" applyFont="1" applyAlignment="1">
      <alignment horizontal="justify" vertical="top" wrapText="1" readingOrder="2"/>
    </xf>
    <xf numFmtId="0" fontId="1" fillId="0" borderId="0" xfId="1" applyFont="1" applyFill="1" applyBorder="1"/>
    <xf numFmtId="0" fontId="14" fillId="0" borderId="0" xfId="1" applyFont="1" applyAlignment="1">
      <alignment horizontal="left" wrapText="1" readingOrder="1"/>
    </xf>
    <xf numFmtId="0" fontId="14" fillId="0" borderId="0" xfId="1" applyFont="1" applyAlignment="1">
      <alignment readingOrder="1"/>
    </xf>
    <xf numFmtId="0" fontId="4" fillId="0" borderId="0" xfId="1" applyFont="1" applyBorder="1" applyAlignment="1">
      <alignment horizontal="center" vertical="top" wrapText="1" readingOrder="1"/>
    </xf>
    <xf numFmtId="0" fontId="17" fillId="0" borderId="0" xfId="1" applyFont="1" applyBorder="1" applyAlignment="1">
      <alignment horizontal="center" vertical="top" wrapText="1" readingOrder="1"/>
    </xf>
    <xf numFmtId="49" fontId="4" fillId="3" borderId="22" xfId="1" applyNumberFormat="1" applyFont="1" applyFill="1" applyBorder="1" applyAlignment="1">
      <alignment horizontal="center" vertical="center" readingOrder="2"/>
    </xf>
    <xf numFmtId="49" fontId="4" fillId="3" borderId="24" xfId="1" applyNumberFormat="1" applyFont="1" applyFill="1" applyBorder="1" applyAlignment="1">
      <alignment horizontal="center" vertical="center" readingOrder="1"/>
    </xf>
    <xf numFmtId="3" fontId="1" fillId="0" borderId="0" xfId="1" applyNumberFormat="1" applyFont="1" applyBorder="1"/>
    <xf numFmtId="0" fontId="1" fillId="0" borderId="36" xfId="1" applyFont="1" applyBorder="1"/>
    <xf numFmtId="0" fontId="1" fillId="0" borderId="0" xfId="1" applyFont="1" applyBorder="1"/>
    <xf numFmtId="0" fontId="1" fillId="0" borderId="35" xfId="1" applyFont="1" applyBorder="1"/>
    <xf numFmtId="0" fontId="7" fillId="3" borderId="23" xfId="1" applyFont="1" applyFill="1" applyBorder="1" applyAlignment="1">
      <alignment horizontal="center" vertical="center" wrapText="1"/>
    </xf>
    <xf numFmtId="0" fontId="14" fillId="3" borderId="23" xfId="1" applyFont="1" applyFill="1" applyBorder="1" applyAlignment="1">
      <alignment horizontal="center" vertical="center" wrapText="1" readingOrder="1"/>
    </xf>
    <xf numFmtId="0" fontId="4" fillId="3" borderId="30" xfId="1" applyFont="1" applyFill="1" applyBorder="1" applyAlignment="1">
      <alignment horizontal="center" vertical="center" wrapText="1" readingOrder="2"/>
    </xf>
    <xf numFmtId="0" fontId="4" fillId="3" borderId="41" xfId="1" applyFont="1" applyFill="1" applyBorder="1" applyAlignment="1">
      <alignment horizontal="center" vertical="center" wrapText="1" readingOrder="2"/>
    </xf>
    <xf numFmtId="3" fontId="53" fillId="0" borderId="8" xfId="18" applyNumberFormat="1" applyFont="1" applyFill="1" applyBorder="1" applyAlignment="1">
      <alignment horizontal="right" vertical="center" indent="1"/>
    </xf>
    <xf numFmtId="3" fontId="64" fillId="0" borderId="8" xfId="16" applyNumberFormat="1" applyFont="1" applyFill="1" applyBorder="1" applyAlignment="1">
      <alignment horizontal="right" vertical="center" indent="1"/>
    </xf>
    <xf numFmtId="0" fontId="15" fillId="3" borderId="23" xfId="1" applyFont="1" applyFill="1" applyBorder="1" applyAlignment="1">
      <alignment horizontal="center" vertical="center" wrapText="1" readingOrder="1"/>
    </xf>
    <xf numFmtId="0" fontId="4" fillId="3" borderId="23" xfId="1" applyFont="1" applyFill="1" applyBorder="1" applyAlignment="1">
      <alignment horizontal="center" vertical="center" wrapText="1" readingOrder="2"/>
    </xf>
    <xf numFmtId="0" fontId="14" fillId="3" borderId="30" xfId="1" applyFont="1" applyFill="1" applyBorder="1" applyAlignment="1">
      <alignment horizontal="center" vertical="center" wrapText="1" readingOrder="1"/>
    </xf>
    <xf numFmtId="0" fontId="15" fillId="3" borderId="30" xfId="1" applyFont="1" applyFill="1" applyBorder="1" applyAlignment="1">
      <alignment horizontal="center" vertical="center" wrapText="1" readingOrder="2"/>
    </xf>
    <xf numFmtId="0" fontId="15" fillId="3" borderId="23" xfId="1" applyFont="1" applyFill="1" applyBorder="1" applyAlignment="1">
      <alignment horizontal="center" vertical="center" wrapText="1" readingOrder="2"/>
    </xf>
    <xf numFmtId="0" fontId="14" fillId="3" borderId="30" xfId="1" applyFont="1" applyFill="1" applyBorder="1" applyAlignment="1">
      <alignment horizontal="center" wrapText="1" readingOrder="2"/>
    </xf>
    <xf numFmtId="0" fontId="14" fillId="3" borderId="30" xfId="1" applyFont="1" applyFill="1" applyBorder="1" applyAlignment="1">
      <alignment horizontal="center" wrapText="1" readingOrder="1"/>
    </xf>
    <xf numFmtId="49" fontId="14" fillId="3" borderId="30" xfId="1" applyNumberFormat="1" applyFont="1" applyFill="1" applyBorder="1" applyAlignment="1">
      <alignment horizontal="center" wrapText="1" readingOrder="1"/>
    </xf>
    <xf numFmtId="0" fontId="14" fillId="3" borderId="23" xfId="1" applyFont="1" applyFill="1" applyBorder="1" applyAlignment="1">
      <alignment horizontal="center" vertical="center" wrapText="1"/>
    </xf>
    <xf numFmtId="0" fontId="15" fillId="3" borderId="23" xfId="1" applyFont="1" applyFill="1" applyBorder="1" applyAlignment="1">
      <alignment horizontal="center" vertical="center" wrapText="1"/>
    </xf>
    <xf numFmtId="0" fontId="15" fillId="3" borderId="41" xfId="1" applyFont="1" applyFill="1" applyBorder="1" applyAlignment="1">
      <alignment horizontal="center" vertical="center" wrapText="1" readingOrder="1"/>
    </xf>
    <xf numFmtId="3" fontId="1" fillId="0" borderId="8" xfId="1" applyNumberFormat="1" applyFont="1" applyFill="1" applyBorder="1" applyAlignment="1">
      <alignment horizontal="right" vertical="center" indent="1"/>
    </xf>
    <xf numFmtId="3" fontId="1" fillId="0" borderId="17" xfId="1" applyNumberFormat="1" applyFont="1" applyFill="1" applyBorder="1" applyAlignment="1">
      <alignment horizontal="right" vertical="center" indent="1"/>
    </xf>
    <xf numFmtId="3" fontId="1" fillId="0" borderId="20" xfId="1" applyNumberFormat="1" applyFont="1" applyFill="1" applyBorder="1" applyAlignment="1">
      <alignment horizontal="right" vertical="center" indent="1"/>
    </xf>
    <xf numFmtId="3" fontId="14" fillId="0" borderId="8" xfId="17" applyNumberFormat="1" applyFont="1" applyFill="1" applyBorder="1" applyAlignment="1">
      <alignment horizontal="right" vertical="center" indent="1"/>
    </xf>
    <xf numFmtId="164" fontId="14" fillId="0" borderId="8" xfId="17" applyNumberFormat="1" applyFont="1" applyFill="1" applyBorder="1" applyAlignment="1">
      <alignment horizontal="right" vertical="center" indent="1"/>
    </xf>
    <xf numFmtId="165" fontId="14" fillId="3" borderId="11" xfId="17" applyNumberFormat="1" applyFont="1" applyFill="1" applyBorder="1" applyAlignment="1">
      <alignment horizontal="right" vertical="center" indent="1"/>
    </xf>
    <xf numFmtId="164" fontId="1" fillId="3" borderId="11" xfId="1" applyNumberFormat="1" applyFont="1" applyFill="1" applyBorder="1" applyAlignment="1">
      <alignment horizontal="right" vertical="center" indent="1"/>
    </xf>
    <xf numFmtId="3" fontId="53" fillId="0" borderId="14" xfId="1" applyNumberFormat="1" applyFont="1" applyFill="1" applyBorder="1" applyAlignment="1">
      <alignment horizontal="right" vertical="center" indent="1"/>
    </xf>
    <xf numFmtId="3" fontId="64" fillId="0" borderId="14" xfId="1" applyNumberFormat="1" applyFont="1" applyFill="1" applyBorder="1" applyAlignment="1">
      <alignment horizontal="right" vertical="center" indent="1"/>
    </xf>
    <xf numFmtId="3" fontId="53" fillId="0" borderId="17" xfId="1" applyNumberFormat="1" applyFont="1" applyFill="1" applyBorder="1" applyAlignment="1">
      <alignment horizontal="right" vertical="center" indent="1"/>
    </xf>
    <xf numFmtId="3" fontId="64" fillId="0" borderId="17" xfId="1" applyNumberFormat="1" applyFont="1" applyFill="1" applyBorder="1" applyAlignment="1">
      <alignment horizontal="right" vertical="center" indent="1"/>
    </xf>
    <xf numFmtId="3" fontId="53" fillId="0" borderId="20" xfId="1" applyNumberFormat="1" applyFont="1" applyFill="1" applyBorder="1" applyAlignment="1">
      <alignment horizontal="right" vertical="center" indent="1"/>
    </xf>
    <xf numFmtId="3" fontId="64" fillId="0" borderId="20" xfId="1" applyNumberFormat="1" applyFont="1" applyFill="1" applyBorder="1" applyAlignment="1">
      <alignment horizontal="right" vertical="center" indent="1"/>
    </xf>
    <xf numFmtId="3" fontId="53" fillId="0" borderId="8" xfId="1" applyNumberFormat="1" applyFont="1" applyFill="1" applyBorder="1" applyAlignment="1">
      <alignment horizontal="right" vertical="center" indent="1"/>
    </xf>
    <xf numFmtId="165" fontId="14" fillId="0" borderId="11" xfId="1" applyNumberFormat="1" applyFont="1" applyFill="1" applyBorder="1" applyAlignment="1">
      <alignment horizontal="right" vertical="center" indent="1"/>
    </xf>
    <xf numFmtId="164" fontId="14" fillId="0" borderId="11" xfId="1" applyNumberFormat="1" applyFont="1" applyFill="1" applyBorder="1" applyAlignment="1">
      <alignment horizontal="right" vertical="center" indent="1"/>
    </xf>
    <xf numFmtId="164" fontId="14" fillId="0" borderId="31" xfId="1" applyNumberFormat="1" applyFont="1" applyFill="1" applyBorder="1" applyAlignment="1">
      <alignment horizontal="right" vertical="center" indent="1"/>
    </xf>
    <xf numFmtId="165" fontId="64" fillId="3" borderId="31" xfId="1" applyNumberFormat="1" applyFont="1" applyFill="1" applyBorder="1" applyAlignment="1">
      <alignment horizontal="right" vertical="center" indent="1"/>
    </xf>
    <xf numFmtId="165" fontId="64" fillId="3" borderId="11" xfId="1" applyNumberFormat="1" applyFont="1" applyFill="1" applyBorder="1" applyAlignment="1">
      <alignment horizontal="right" vertical="center" indent="1"/>
    </xf>
    <xf numFmtId="164" fontId="64" fillId="0" borderId="14" xfId="1" applyNumberFormat="1" applyFont="1" applyFill="1" applyBorder="1" applyAlignment="1">
      <alignment horizontal="right" vertical="center" indent="1"/>
    </xf>
    <xf numFmtId="164" fontId="64" fillId="0" borderId="17" xfId="1" applyNumberFormat="1" applyFont="1" applyFill="1" applyBorder="1" applyAlignment="1">
      <alignment horizontal="right" vertical="center" indent="1"/>
    </xf>
    <xf numFmtId="165" fontId="14" fillId="6" borderId="11" xfId="1" applyNumberFormat="1" applyFont="1" applyFill="1" applyBorder="1" applyAlignment="1">
      <alignment horizontal="right" vertical="center" indent="1"/>
    </xf>
    <xf numFmtId="3" fontId="53" fillId="0" borderId="15" xfId="1" applyNumberFormat="1" applyFont="1" applyFill="1" applyBorder="1" applyAlignment="1">
      <alignment horizontal="right" vertical="center" indent="1"/>
    </xf>
    <xf numFmtId="3" fontId="53" fillId="0" borderId="13" xfId="1" applyNumberFormat="1" applyFont="1" applyFill="1" applyBorder="1" applyAlignment="1">
      <alignment horizontal="right" vertical="center" indent="1"/>
    </xf>
    <xf numFmtId="3" fontId="53" fillId="0" borderId="18" xfId="1" applyNumberFormat="1" applyFont="1" applyFill="1" applyBorder="1" applyAlignment="1">
      <alignment horizontal="right" vertical="center" indent="1"/>
    </xf>
    <xf numFmtId="3" fontId="53" fillId="0" borderId="21" xfId="1" applyNumberFormat="1" applyFont="1" applyFill="1" applyBorder="1" applyAlignment="1">
      <alignment horizontal="right" vertical="center" indent="1"/>
    </xf>
    <xf numFmtId="0" fontId="1" fillId="0" borderId="0" xfId="1" applyFont="1" applyAlignment="1">
      <alignment horizontal="right" indent="1"/>
    </xf>
    <xf numFmtId="3" fontId="14" fillId="0" borderId="31" xfId="17" applyNumberFormat="1" applyFont="1" applyFill="1" applyBorder="1" applyAlignment="1">
      <alignment horizontal="right" vertical="center" indent="1" readingOrder="1"/>
    </xf>
    <xf numFmtId="0" fontId="7" fillId="3" borderId="23" xfId="1" applyFont="1" applyFill="1" applyBorder="1" applyAlignment="1">
      <alignment horizontal="center" vertical="center" wrapText="1"/>
    </xf>
    <xf numFmtId="0" fontId="66" fillId="0" borderId="29" xfId="0" applyFont="1" applyFill="1" applyBorder="1" applyAlignment="1">
      <alignment horizontal="center" vertical="center"/>
    </xf>
    <xf numFmtId="1" fontId="66" fillId="0" borderId="29" xfId="0" applyNumberFormat="1" applyFont="1" applyFill="1" applyBorder="1" applyAlignment="1">
      <alignment horizontal="right" vertical="center" indent="1"/>
    </xf>
    <xf numFmtId="164" fontId="66" fillId="0" borderId="29" xfId="0" applyNumberFormat="1" applyFont="1" applyFill="1" applyBorder="1" applyAlignment="1">
      <alignment horizontal="right" vertical="center" indent="1"/>
    </xf>
    <xf numFmtId="0" fontId="68" fillId="0" borderId="29" xfId="0" applyFont="1" applyFill="1" applyBorder="1" applyAlignment="1">
      <alignment horizontal="center" vertical="center"/>
    </xf>
    <xf numFmtId="0" fontId="56" fillId="0" borderId="20" xfId="1" applyFont="1" applyFill="1" applyBorder="1" applyAlignment="1">
      <alignment horizontal="center" vertical="center" wrapText="1" readingOrder="2"/>
    </xf>
    <xf numFmtId="164" fontId="64" fillId="0" borderId="20" xfId="1" applyNumberFormat="1" applyFont="1" applyFill="1" applyBorder="1" applyAlignment="1">
      <alignment horizontal="right" vertical="center" indent="1"/>
    </xf>
    <xf numFmtId="0" fontId="55" fillId="0" borderId="20" xfId="1" applyFont="1" applyFill="1" applyBorder="1" applyAlignment="1">
      <alignment horizontal="center" vertical="center" wrapText="1" readingOrder="1"/>
    </xf>
    <xf numFmtId="0" fontId="4" fillId="0" borderId="0" xfId="4" applyFont="1" applyAlignment="1">
      <alignment horizontal="center"/>
    </xf>
    <xf numFmtId="0" fontId="4" fillId="6" borderId="0" xfId="4" applyFont="1" applyFill="1" applyBorder="1" applyAlignment="1">
      <alignment horizontal="center" readingOrder="1"/>
    </xf>
    <xf numFmtId="0" fontId="4" fillId="6" borderId="0" xfId="14" applyFill="1" applyBorder="1" applyAlignment="1">
      <alignment vertical="center"/>
    </xf>
    <xf numFmtId="0" fontId="1" fillId="6" borderId="0" xfId="1" applyFill="1" applyBorder="1"/>
    <xf numFmtId="164" fontId="1" fillId="6" borderId="0" xfId="1" applyNumberFormat="1" applyFill="1" applyBorder="1"/>
    <xf numFmtId="0" fontId="14" fillId="6" borderId="0" xfId="14" applyFont="1" applyFill="1" applyBorder="1" applyAlignment="1">
      <alignment vertical="center"/>
    </xf>
    <xf numFmtId="0" fontId="4" fillId="6" borderId="0" xfId="4" applyFont="1" applyFill="1" applyAlignment="1">
      <alignment horizontal="center"/>
    </xf>
    <xf numFmtId="0" fontId="4" fillId="6" borderId="0" xfId="14" applyFont="1" applyFill="1" applyAlignment="1">
      <alignment vertical="center"/>
    </xf>
    <xf numFmtId="0" fontId="37" fillId="6" borderId="0" xfId="1" applyFont="1" applyFill="1" applyAlignment="1">
      <alignment horizontal="right"/>
    </xf>
    <xf numFmtId="0" fontId="37" fillId="6" borderId="0" xfId="1" applyFont="1" applyFill="1"/>
    <xf numFmtId="0" fontId="14" fillId="6" borderId="0" xfId="15" applyFont="1" applyFill="1" applyBorder="1">
      <alignment horizontal="left" vertical="center"/>
    </xf>
    <xf numFmtId="0" fontId="4" fillId="6" borderId="0" xfId="14" applyFont="1" applyFill="1">
      <alignment horizontal="right" vertical="center"/>
    </xf>
    <xf numFmtId="0" fontId="41" fillId="6" borderId="0" xfId="1" applyFont="1" applyFill="1"/>
    <xf numFmtId="0" fontId="1" fillId="6" borderId="0" xfId="15" applyFill="1" applyBorder="1" applyAlignment="1">
      <alignment vertical="center"/>
    </xf>
    <xf numFmtId="0" fontId="14" fillId="6" borderId="0" xfId="15" applyFont="1" applyFill="1" applyBorder="1" applyAlignment="1">
      <alignment vertical="center"/>
    </xf>
    <xf numFmtId="0" fontId="4" fillId="6" borderId="0" xfId="1" applyFont="1" applyFill="1" applyAlignment="1">
      <alignment horizontal="right"/>
    </xf>
    <xf numFmtId="0" fontId="16" fillId="6" borderId="0" xfId="1" applyFont="1" applyFill="1"/>
    <xf numFmtId="0" fontId="1" fillId="6" borderId="0" xfId="15" applyFont="1" applyFill="1" applyBorder="1" applyAlignment="1">
      <alignment vertical="center"/>
    </xf>
    <xf numFmtId="0" fontId="4" fillId="6" borderId="0" xfId="4" applyFont="1" applyFill="1" applyAlignment="1">
      <alignment horizontal="center" vertical="center"/>
    </xf>
    <xf numFmtId="0" fontId="4" fillId="6" borderId="0" xfId="1" applyFont="1" applyFill="1" applyAlignment="1">
      <alignment horizontal="right" vertical="center" readingOrder="2"/>
    </xf>
    <xf numFmtId="0" fontId="14" fillId="6" borderId="0" xfId="1" applyFont="1" applyFill="1" applyAlignment="1">
      <alignment vertical="center"/>
    </xf>
    <xf numFmtId="0" fontId="14" fillId="6" borderId="0" xfId="1" applyFont="1" applyFill="1" applyAlignment="1">
      <alignment horizontal="left" vertical="center" readingOrder="1"/>
    </xf>
    <xf numFmtId="0" fontId="4" fillId="6" borderId="0" xfId="1" applyFont="1" applyFill="1" applyAlignment="1">
      <alignment horizontal="center" vertical="center" readingOrder="2"/>
    </xf>
    <xf numFmtId="0" fontId="1" fillId="6" borderId="0" xfId="1" applyFill="1" applyAlignment="1">
      <alignment vertical="center"/>
    </xf>
    <xf numFmtId="0" fontId="1" fillId="6" borderId="0" xfId="1" applyFont="1" applyFill="1" applyAlignment="1">
      <alignment vertical="center"/>
    </xf>
    <xf numFmtId="0" fontId="1" fillId="6" borderId="0" xfId="1" applyFont="1" applyFill="1" applyAlignment="1">
      <alignment horizontal="center" vertical="center"/>
    </xf>
    <xf numFmtId="49" fontId="4" fillId="6" borderId="0" xfId="1" applyNumberFormat="1" applyFont="1" applyFill="1" applyAlignment="1">
      <alignment horizontal="right" vertical="center" readingOrder="2"/>
    </xf>
    <xf numFmtId="49" fontId="14" fillId="6" borderId="0" xfId="1" applyNumberFormat="1" applyFont="1" applyFill="1" applyAlignment="1">
      <alignment horizontal="left" vertical="center" readingOrder="1"/>
    </xf>
    <xf numFmtId="0" fontId="1" fillId="6" borderId="0" xfId="1" applyFont="1" applyFill="1" applyAlignment="1">
      <alignment horizontal="left" vertical="center" readingOrder="1"/>
    </xf>
    <xf numFmtId="0" fontId="1" fillId="6" borderId="0" xfId="1" applyFont="1" applyFill="1"/>
    <xf numFmtId="0" fontId="4" fillId="6" borderId="0" xfId="4" applyFont="1" applyFill="1" applyAlignment="1">
      <alignment vertical="top" wrapText="1"/>
    </xf>
    <xf numFmtId="0" fontId="15" fillId="0" borderId="31" xfId="1" applyFont="1" applyFill="1" applyBorder="1" applyAlignment="1">
      <alignment horizontal="right" vertical="center" indent="1" readingOrder="1"/>
    </xf>
    <xf numFmtId="0" fontId="15" fillId="0" borderId="41" xfId="1" applyFont="1" applyFill="1" applyBorder="1" applyAlignment="1">
      <alignment horizontal="right" vertical="center" indent="1" readingOrder="1"/>
    </xf>
    <xf numFmtId="0" fontId="15" fillId="3" borderId="16" xfId="1" applyFont="1" applyFill="1" applyBorder="1" applyAlignment="1">
      <alignment horizontal="right" vertical="center" wrapText="1" indent="1" readingOrder="2"/>
    </xf>
    <xf numFmtId="0" fontId="1" fillId="3" borderId="18" xfId="1" applyFont="1" applyFill="1" applyBorder="1" applyAlignment="1">
      <alignment horizontal="left" vertical="center" wrapText="1" indent="1" readingOrder="1"/>
    </xf>
    <xf numFmtId="49" fontId="70" fillId="0" borderId="13" xfId="17" applyNumberFormat="1" applyFont="1" applyFill="1" applyBorder="1" applyAlignment="1">
      <alignment horizontal="center" vertical="center" wrapText="1" readingOrder="2"/>
    </xf>
    <xf numFmtId="3" fontId="71" fillId="0" borderId="14" xfId="1" applyNumberFormat="1" applyFont="1" applyFill="1" applyBorder="1" applyAlignment="1">
      <alignment horizontal="right" vertical="center" readingOrder="1"/>
    </xf>
    <xf numFmtId="49" fontId="69" fillId="0" borderId="15" xfId="17" applyNumberFormat="1" applyFont="1" applyFill="1" applyBorder="1" applyAlignment="1">
      <alignment horizontal="center" vertical="center" wrapText="1" readingOrder="1"/>
    </xf>
    <xf numFmtId="49" fontId="70" fillId="0" borderId="42" xfId="17" applyNumberFormat="1" applyFont="1" applyFill="1" applyBorder="1" applyAlignment="1">
      <alignment horizontal="center" vertical="center" wrapText="1" readingOrder="2"/>
    </xf>
    <xf numFmtId="3" fontId="71" fillId="0" borderId="41" xfId="1" applyNumberFormat="1" applyFont="1" applyFill="1" applyBorder="1" applyAlignment="1">
      <alignment horizontal="right" vertical="center" readingOrder="1"/>
    </xf>
    <xf numFmtId="49" fontId="69" fillId="0" borderId="40" xfId="17" applyNumberFormat="1" applyFont="1" applyFill="1" applyBorder="1" applyAlignment="1">
      <alignment horizontal="center" vertical="center" wrapText="1" readingOrder="1"/>
    </xf>
    <xf numFmtId="164" fontId="46" fillId="3" borderId="23" xfId="1" applyNumberFormat="1" applyFont="1" applyFill="1" applyBorder="1" applyAlignment="1">
      <alignment horizontal="center" vertical="center" wrapText="1"/>
    </xf>
    <xf numFmtId="0" fontId="4" fillId="0" borderId="0" xfId="1" applyFont="1" applyFill="1" applyBorder="1" applyAlignment="1">
      <alignment horizontal="center" vertical="center" wrapText="1" readingOrder="2"/>
    </xf>
    <xf numFmtId="0" fontId="24" fillId="0" borderId="0" xfId="1" applyFont="1" applyFill="1" applyBorder="1" applyAlignment="1">
      <alignment horizontal="center" vertical="center" wrapText="1" readingOrder="2"/>
    </xf>
    <xf numFmtId="0" fontId="72" fillId="0" borderId="0" xfId="1" applyFont="1" applyFill="1" applyBorder="1" applyAlignment="1">
      <alignment horizontal="center" vertical="center" wrapText="1" readingOrder="2"/>
    </xf>
    <xf numFmtId="0" fontId="73" fillId="0" borderId="0" xfId="1" applyFont="1" applyFill="1" applyBorder="1"/>
    <xf numFmtId="0" fontId="1" fillId="0" borderId="0" xfId="1" applyAlignment="1">
      <alignment readingOrder="1"/>
    </xf>
    <xf numFmtId="164" fontId="14" fillId="0" borderId="7" xfId="18" applyNumberFormat="1" applyFont="1" applyFill="1" applyBorder="1" applyAlignment="1">
      <alignment horizontal="right" vertical="center" indent="1"/>
    </xf>
    <xf numFmtId="3" fontId="67" fillId="6" borderId="7" xfId="1" applyNumberFormat="1" applyFont="1" applyFill="1" applyBorder="1" applyAlignment="1">
      <alignment horizontal="right" vertical="center" indent="1" readingOrder="1"/>
    </xf>
    <xf numFmtId="3" fontId="67" fillId="6" borderId="8" xfId="1" applyNumberFormat="1" applyFont="1" applyFill="1" applyBorder="1" applyAlignment="1">
      <alignment horizontal="right" vertical="center" indent="1" readingOrder="1"/>
    </xf>
    <xf numFmtId="3" fontId="67" fillId="3" borderId="7" xfId="1" applyNumberFormat="1" applyFont="1" applyFill="1" applyBorder="1" applyAlignment="1">
      <alignment horizontal="right" vertical="center" indent="1" readingOrder="1"/>
    </xf>
    <xf numFmtId="3" fontId="67" fillId="3" borderId="8" xfId="1" applyNumberFormat="1" applyFont="1" applyFill="1" applyBorder="1" applyAlignment="1">
      <alignment horizontal="right" vertical="center" indent="1" readingOrder="1"/>
    </xf>
    <xf numFmtId="164" fontId="14" fillId="3" borderId="7" xfId="18" applyNumberFormat="1" applyFont="1" applyFill="1" applyBorder="1" applyAlignment="1">
      <alignment horizontal="right" vertical="center" indent="1"/>
    </xf>
    <xf numFmtId="164" fontId="14" fillId="0" borderId="22" xfId="18" applyNumberFormat="1" applyFont="1" applyFill="1" applyBorder="1" applyAlignment="1">
      <alignment horizontal="right" vertical="center" indent="1"/>
    </xf>
    <xf numFmtId="0" fontId="7" fillId="3" borderId="30" xfId="1" applyFont="1" applyFill="1" applyBorder="1" applyAlignment="1">
      <alignment horizontal="center" vertical="center" wrapText="1" readingOrder="1"/>
    </xf>
    <xf numFmtId="0" fontId="77" fillId="0" borderId="25" xfId="1" applyFont="1" applyBorder="1" applyAlignment="1">
      <alignment horizontal="center" vertical="center" wrapText="1" readingOrder="1"/>
    </xf>
    <xf numFmtId="49" fontId="77" fillId="0" borderId="25" xfId="1" applyNumberFormat="1" applyFont="1" applyBorder="1" applyAlignment="1">
      <alignment horizontal="center" vertical="center" wrapText="1" readingOrder="1"/>
    </xf>
    <xf numFmtId="0" fontId="75" fillId="0" borderId="0" xfId="0" applyFont="1" applyAlignment="1">
      <alignment vertical="center"/>
    </xf>
    <xf numFmtId="0" fontId="1" fillId="0" borderId="53" xfId="1" applyBorder="1" applyAlignment="1">
      <alignment vertical="center"/>
    </xf>
    <xf numFmtId="0" fontId="1" fillId="0" borderId="54" xfId="1" applyBorder="1" applyAlignment="1">
      <alignment vertical="center" readingOrder="1"/>
    </xf>
    <xf numFmtId="0" fontId="1" fillId="0" borderId="55" xfId="1" applyBorder="1" applyAlignment="1">
      <alignment vertical="center"/>
    </xf>
    <xf numFmtId="0" fontId="7" fillId="3" borderId="23" xfId="1" applyFont="1" applyFill="1" applyBorder="1" applyAlignment="1">
      <alignment horizontal="center" vertical="center" wrapText="1"/>
    </xf>
    <xf numFmtId="0" fontId="4" fillId="6" borderId="0" xfId="4" applyFont="1" applyFill="1" applyAlignment="1">
      <alignment horizontal="center" vertical="center"/>
    </xf>
    <xf numFmtId="3" fontId="1" fillId="0" borderId="15" xfId="18" applyNumberFormat="1" applyFont="1" applyFill="1" applyBorder="1" applyAlignment="1">
      <alignment horizontal="right" vertical="center" indent="1"/>
    </xf>
    <xf numFmtId="3" fontId="1" fillId="0" borderId="40" xfId="18" applyNumberFormat="1" applyFont="1" applyFill="1" applyBorder="1" applyAlignment="1">
      <alignment horizontal="right" vertical="center" indent="1"/>
    </xf>
    <xf numFmtId="3" fontId="14" fillId="0" borderId="23" xfId="17" applyNumberFormat="1" applyFont="1" applyFill="1" applyBorder="1" applyAlignment="1">
      <alignment horizontal="left" vertical="center" wrapText="1" indent="1"/>
    </xf>
    <xf numFmtId="3" fontId="53" fillId="6" borderId="9" xfId="1" applyNumberFormat="1" applyFont="1" applyFill="1" applyBorder="1" applyAlignment="1">
      <alignment horizontal="right" vertical="center" indent="1" readingOrder="1"/>
    </xf>
    <xf numFmtId="3" fontId="67" fillId="6" borderId="9" xfId="1" applyNumberFormat="1" applyFont="1" applyFill="1" applyBorder="1" applyAlignment="1">
      <alignment horizontal="right" vertical="center" indent="1" readingOrder="1"/>
    </xf>
    <xf numFmtId="3" fontId="67" fillId="3" borderId="9" xfId="1" applyNumberFormat="1" applyFont="1" applyFill="1" applyBorder="1" applyAlignment="1">
      <alignment horizontal="right" vertical="center" indent="1" readingOrder="1"/>
    </xf>
    <xf numFmtId="164" fontId="14" fillId="0" borderId="13" xfId="18" applyNumberFormat="1" applyFont="1" applyFill="1" applyBorder="1" applyAlignment="1">
      <alignment horizontal="right" vertical="center" indent="1"/>
    </xf>
    <xf numFmtId="0" fontId="1" fillId="3" borderId="12" xfId="1" applyFont="1" applyFill="1" applyBorder="1" applyAlignment="1">
      <alignment horizontal="center" vertical="center" wrapText="1" readingOrder="2"/>
    </xf>
    <xf numFmtId="3" fontId="67" fillId="3" borderId="22" xfId="1" applyNumberFormat="1" applyFont="1" applyFill="1" applyBorder="1" applyAlignment="1">
      <alignment horizontal="right" vertical="center" indent="1" readingOrder="1"/>
    </xf>
    <xf numFmtId="3" fontId="67" fillId="3" borderId="23" xfId="1" applyNumberFormat="1" applyFont="1" applyFill="1" applyBorder="1" applyAlignment="1">
      <alignment horizontal="right" vertical="center" indent="1" readingOrder="1"/>
    </xf>
    <xf numFmtId="3" fontId="67" fillId="3" borderId="24" xfId="1" applyNumberFormat="1" applyFont="1" applyFill="1" applyBorder="1" applyAlignment="1">
      <alignment horizontal="right" vertical="center" indent="1" readingOrder="1"/>
    </xf>
    <xf numFmtId="164" fontId="14" fillId="3" borderId="22" xfId="18" applyNumberFormat="1" applyFont="1" applyFill="1" applyBorder="1" applyAlignment="1">
      <alignment horizontal="right" vertical="center" indent="1"/>
    </xf>
    <xf numFmtId="164" fontId="46" fillId="3" borderId="11" xfId="1" applyNumberFormat="1" applyFont="1" applyFill="1" applyBorder="1" applyAlignment="1">
      <alignment horizontal="center" vertical="center" readingOrder="1"/>
    </xf>
    <xf numFmtId="0" fontId="7" fillId="3" borderId="30" xfId="1" applyFont="1" applyFill="1" applyBorder="1" applyAlignment="1">
      <alignment horizontal="center" vertical="center" wrapText="1"/>
    </xf>
    <xf numFmtId="3" fontId="64" fillId="6" borderId="48" xfId="1" applyNumberFormat="1" applyFont="1" applyFill="1" applyBorder="1" applyAlignment="1">
      <alignment horizontal="right" vertical="center" indent="1" readingOrder="1"/>
    </xf>
    <xf numFmtId="0" fontId="14" fillId="6" borderId="15" xfId="1" applyFont="1" applyFill="1" applyBorder="1" applyAlignment="1">
      <alignment horizontal="center" vertical="center" wrapText="1" readingOrder="2"/>
    </xf>
    <xf numFmtId="3" fontId="64" fillId="6" borderId="13" xfId="1" applyNumberFormat="1" applyFont="1" applyFill="1" applyBorder="1" applyAlignment="1">
      <alignment horizontal="right" vertical="center" indent="1" readingOrder="1"/>
    </xf>
    <xf numFmtId="164" fontId="8" fillId="6" borderId="14" xfId="1" applyNumberFormat="1" applyFont="1" applyFill="1" applyBorder="1" applyAlignment="1">
      <alignment horizontal="center" vertical="center" readingOrder="1"/>
    </xf>
    <xf numFmtId="0" fontId="14" fillId="6" borderId="40" xfId="1" applyFont="1" applyFill="1" applyBorder="1" applyAlignment="1">
      <alignment horizontal="center" vertical="center" wrapText="1" readingOrder="2"/>
    </xf>
    <xf numFmtId="164" fontId="8" fillId="6" borderId="41" xfId="1" applyNumberFormat="1" applyFont="1" applyFill="1" applyBorder="1" applyAlignment="1">
      <alignment horizontal="center" vertical="center" readingOrder="1"/>
    </xf>
    <xf numFmtId="3" fontId="64" fillId="6" borderId="30" xfId="1" applyNumberFormat="1" applyFont="1" applyFill="1" applyBorder="1" applyAlignment="1">
      <alignment horizontal="right" vertical="center" indent="1" readingOrder="1"/>
    </xf>
    <xf numFmtId="0" fontId="14" fillId="6" borderId="11" xfId="1" applyFont="1" applyFill="1" applyBorder="1" applyAlignment="1">
      <alignment horizontal="center" vertical="center" wrapText="1" readingOrder="2"/>
    </xf>
    <xf numFmtId="164" fontId="8" fillId="6" borderId="11" xfId="1" applyNumberFormat="1" applyFont="1" applyFill="1" applyBorder="1" applyAlignment="1">
      <alignment horizontal="center" vertical="center" readingOrder="1"/>
    </xf>
    <xf numFmtId="0" fontId="38" fillId="3" borderId="41" xfId="1" applyFont="1" applyFill="1" applyBorder="1" applyAlignment="1">
      <alignment horizontal="center" vertical="top" wrapText="1" readingOrder="1"/>
    </xf>
    <xf numFmtId="3" fontId="14" fillId="3" borderId="23" xfId="1" applyNumberFormat="1" applyFont="1" applyFill="1" applyBorder="1" applyAlignment="1">
      <alignment vertical="center" readingOrder="1"/>
    </xf>
    <xf numFmtId="3" fontId="1" fillId="0" borderId="14" xfId="1" applyNumberFormat="1" applyFont="1" applyFill="1" applyBorder="1" applyAlignment="1">
      <alignment vertical="center" readingOrder="1"/>
    </xf>
    <xf numFmtId="0" fontId="4" fillId="3" borderId="30" xfId="1" applyFont="1" applyFill="1" applyBorder="1" applyAlignment="1">
      <alignment horizontal="center" vertical="center" wrapText="1" readingOrder="1"/>
    </xf>
    <xf numFmtId="3" fontId="14" fillId="0" borderId="41" xfId="1" applyNumberFormat="1" applyFont="1" applyFill="1" applyBorder="1" applyAlignment="1">
      <alignment horizontal="right" vertical="center" indent="1" readingOrder="1"/>
    </xf>
    <xf numFmtId="0" fontId="1" fillId="6" borderId="0" xfId="1" applyFill="1" applyAlignment="1">
      <alignment horizontal="center" vertical="center"/>
    </xf>
    <xf numFmtId="0" fontId="1" fillId="0" borderId="0" xfId="1" applyAlignment="1">
      <alignment horizontal="center"/>
    </xf>
    <xf numFmtId="165" fontId="14" fillId="6" borderId="8" xfId="1" applyNumberFormat="1" applyFont="1" applyFill="1" applyBorder="1" applyAlignment="1">
      <alignment horizontal="right" vertical="center" indent="1" readingOrder="1"/>
    </xf>
    <xf numFmtId="165" fontId="14" fillId="6" borderId="17" xfId="1" applyNumberFormat="1" applyFont="1" applyFill="1" applyBorder="1" applyAlignment="1">
      <alignment horizontal="right" vertical="center" indent="1" readingOrder="1"/>
    </xf>
    <xf numFmtId="165" fontId="14" fillId="3" borderId="17" xfId="1" applyNumberFormat="1" applyFont="1" applyFill="1" applyBorder="1" applyAlignment="1">
      <alignment horizontal="right" vertical="center" indent="1" readingOrder="1"/>
    </xf>
    <xf numFmtId="165" fontId="14" fillId="3" borderId="20" xfId="1" applyNumberFormat="1" applyFont="1" applyFill="1" applyBorder="1" applyAlignment="1">
      <alignment horizontal="right" vertical="center" indent="1" readingOrder="1"/>
    </xf>
    <xf numFmtId="165" fontId="14" fillId="6" borderId="11" xfId="1" applyNumberFormat="1" applyFont="1" applyFill="1" applyBorder="1" applyAlignment="1">
      <alignment horizontal="right" vertical="center" indent="1" readingOrder="1"/>
    </xf>
    <xf numFmtId="165" fontId="14" fillId="6" borderId="15" xfId="1" applyNumberFormat="1" applyFont="1" applyFill="1" applyBorder="1" applyAlignment="1">
      <alignment horizontal="right" vertical="center" indent="1" readingOrder="1"/>
    </xf>
    <xf numFmtId="165" fontId="14" fillId="6" borderId="18" xfId="1" applyNumberFormat="1" applyFont="1" applyFill="1" applyBorder="1" applyAlignment="1">
      <alignment horizontal="right" vertical="center" indent="1" readingOrder="1"/>
    </xf>
    <xf numFmtId="3" fontId="14" fillId="0" borderId="40" xfId="1" applyNumberFormat="1" applyFont="1" applyFill="1" applyBorder="1" applyAlignment="1">
      <alignment horizontal="right" vertical="center" indent="1" readingOrder="1"/>
    </xf>
    <xf numFmtId="164" fontId="14" fillId="6" borderId="8" xfId="1" applyNumberFormat="1" applyFont="1" applyFill="1" applyBorder="1" applyAlignment="1">
      <alignment horizontal="right" vertical="center" indent="1"/>
    </xf>
    <xf numFmtId="3" fontId="71" fillId="0" borderId="14" xfId="1" applyNumberFormat="1" applyFont="1" applyFill="1" applyBorder="1" applyAlignment="1">
      <alignment horizontal="right" vertical="center" indent="1" readingOrder="1"/>
    </xf>
    <xf numFmtId="3" fontId="69" fillId="0" borderId="14" xfId="1" applyNumberFormat="1" applyFont="1" applyFill="1" applyBorder="1" applyAlignment="1">
      <alignment horizontal="right" vertical="center" indent="1" readingOrder="1"/>
    </xf>
    <xf numFmtId="3" fontId="71" fillId="0" borderId="41" xfId="1" applyNumberFormat="1" applyFont="1" applyFill="1" applyBorder="1" applyAlignment="1">
      <alignment horizontal="right" vertical="center" indent="1" readingOrder="1"/>
    </xf>
    <xf numFmtId="3" fontId="69" fillId="0" borderId="41" xfId="1" applyNumberFormat="1" applyFont="1" applyFill="1" applyBorder="1" applyAlignment="1">
      <alignment horizontal="right" vertical="center" indent="1" readingOrder="1"/>
    </xf>
    <xf numFmtId="0" fontId="1" fillId="3" borderId="43" xfId="1" applyFont="1" applyFill="1" applyBorder="1" applyAlignment="1">
      <alignment horizontal="center" vertical="center" wrapText="1" readingOrder="1"/>
    </xf>
    <xf numFmtId="0" fontId="7" fillId="3" borderId="23" xfId="1" applyFont="1" applyFill="1" applyBorder="1" applyAlignment="1">
      <alignment horizontal="center" vertical="center" wrapText="1"/>
    </xf>
    <xf numFmtId="0" fontId="15" fillId="3" borderId="23" xfId="1" applyFont="1" applyFill="1" applyBorder="1" applyAlignment="1">
      <alignment horizontal="center" vertical="center" wrapText="1"/>
    </xf>
    <xf numFmtId="0" fontId="7" fillId="3" borderId="41" xfId="1" applyFont="1" applyFill="1" applyBorder="1" applyAlignment="1">
      <alignment horizontal="center" vertical="center" wrapText="1"/>
    </xf>
    <xf numFmtId="3" fontId="53" fillId="3" borderId="17" xfId="18" applyNumberFormat="1" applyFont="1" applyFill="1" applyBorder="1" applyAlignment="1">
      <alignment horizontal="right" vertical="center" indent="1"/>
    </xf>
    <xf numFmtId="3" fontId="81" fillId="0" borderId="23" xfId="0" applyNumberFormat="1" applyFont="1" applyFill="1" applyBorder="1" applyAlignment="1">
      <alignment horizontal="right" vertical="center" indent="1"/>
    </xf>
    <xf numFmtId="0" fontId="79" fillId="0" borderId="7" xfId="0" applyFont="1" applyFill="1" applyBorder="1" applyAlignment="1">
      <alignment horizontal="center" vertical="center"/>
    </xf>
    <xf numFmtId="3" fontId="81" fillId="0" borderId="8" xfId="0" applyNumberFormat="1" applyFont="1" applyFill="1" applyBorder="1" applyAlignment="1">
      <alignment horizontal="right" vertical="center" indent="1"/>
    </xf>
    <xf numFmtId="3" fontId="81" fillId="0" borderId="8" xfId="0" applyNumberFormat="1" applyFont="1" applyFill="1" applyBorder="1" applyAlignment="1" applyProtection="1">
      <alignment horizontal="right" vertical="center" indent="1"/>
    </xf>
    <xf numFmtId="0" fontId="79" fillId="0" borderId="9" xfId="0" applyFont="1" applyFill="1" applyBorder="1" applyAlignment="1">
      <alignment horizontal="center" vertical="center"/>
    </xf>
    <xf numFmtId="0" fontId="79" fillId="3" borderId="49" xfId="0" applyNumberFormat="1" applyFont="1" applyFill="1" applyBorder="1" applyAlignment="1" applyProtection="1">
      <alignment horizontal="center" vertical="center" wrapText="1" readingOrder="2"/>
    </xf>
    <xf numFmtId="3" fontId="81" fillId="3" borderId="30" xfId="0" applyNumberFormat="1" applyFont="1" applyFill="1" applyBorder="1" applyAlignment="1" applyProtection="1">
      <alignment horizontal="right" vertical="center" indent="1"/>
    </xf>
    <xf numFmtId="0" fontId="82" fillId="3" borderId="48" xfId="0" applyNumberFormat="1" applyFont="1" applyFill="1" applyBorder="1" applyAlignment="1" applyProtection="1">
      <alignment horizontal="center" vertical="center" wrapText="1" readingOrder="1"/>
    </xf>
    <xf numFmtId="0" fontId="79" fillId="0" borderId="34" xfId="0" applyFont="1" applyFill="1" applyBorder="1" applyAlignment="1">
      <alignment horizontal="center" vertical="center"/>
    </xf>
    <xf numFmtId="1" fontId="79" fillId="0" borderId="34" xfId="0" applyNumberFormat="1" applyFont="1" applyFill="1" applyBorder="1" applyAlignment="1">
      <alignment horizontal="right" vertical="center" indent="1"/>
    </xf>
    <xf numFmtId="164" fontId="79" fillId="0" borderId="34" xfId="0" applyNumberFormat="1" applyFont="1" applyFill="1" applyBorder="1" applyAlignment="1">
      <alignment horizontal="right" vertical="center" indent="1"/>
    </xf>
    <xf numFmtId="0" fontId="82" fillId="0" borderId="34" xfId="0" applyFont="1" applyFill="1" applyBorder="1" applyAlignment="1">
      <alignment horizontal="center" vertical="center"/>
    </xf>
    <xf numFmtId="0" fontId="79" fillId="0" borderId="28" xfId="0" applyFont="1" applyFill="1" applyBorder="1" applyAlignment="1">
      <alignment horizontal="center" vertical="center"/>
    </xf>
    <xf numFmtId="1" fontId="79" fillId="0" borderId="28" xfId="0" applyNumberFormat="1" applyFont="1" applyFill="1" applyBorder="1" applyAlignment="1">
      <alignment horizontal="right" vertical="center" indent="1"/>
    </xf>
    <xf numFmtId="164" fontId="79" fillId="0" borderId="28" xfId="0" applyNumberFormat="1" applyFont="1" applyFill="1" applyBorder="1" applyAlignment="1">
      <alignment horizontal="right" vertical="center" indent="1"/>
    </xf>
    <xf numFmtId="0" fontId="82" fillId="0" borderId="28" xfId="0" applyFont="1" applyFill="1" applyBorder="1" applyAlignment="1">
      <alignment horizontal="center" vertical="center"/>
    </xf>
    <xf numFmtId="3" fontId="81" fillId="6" borderId="8" xfId="0" applyNumberFormat="1" applyFont="1" applyFill="1" applyBorder="1" applyAlignment="1" applyProtection="1">
      <alignment horizontal="right" vertical="center" indent="1"/>
    </xf>
    <xf numFmtId="3" fontId="81" fillId="6" borderId="48" xfId="0" applyNumberFormat="1" applyFont="1" applyFill="1" applyBorder="1" applyAlignment="1" applyProtection="1">
      <alignment horizontal="right" vertical="center" indent="1"/>
    </xf>
    <xf numFmtId="3" fontId="81" fillId="6" borderId="30" xfId="0" applyNumberFormat="1" applyFont="1" applyFill="1" applyBorder="1" applyAlignment="1" applyProtection="1">
      <alignment horizontal="right" vertical="center" indent="1"/>
    </xf>
    <xf numFmtId="0" fontId="84" fillId="0" borderId="22" xfId="0" applyNumberFormat="1" applyFont="1" applyFill="1" applyBorder="1" applyAlignment="1" applyProtection="1">
      <alignment horizontal="center" vertical="center" readingOrder="2"/>
    </xf>
    <xf numFmtId="0" fontId="83" fillId="0" borderId="24" xfId="0" applyNumberFormat="1" applyFont="1" applyFill="1" applyBorder="1" applyAlignment="1" applyProtection="1">
      <alignment horizontal="center" vertical="center" readingOrder="1"/>
    </xf>
    <xf numFmtId="0" fontId="84" fillId="0" borderId="49" xfId="0" applyNumberFormat="1" applyFont="1" applyFill="1" applyBorder="1" applyAlignment="1" applyProtection="1">
      <alignment horizontal="center" vertical="center" readingOrder="2"/>
    </xf>
    <xf numFmtId="3" fontId="81" fillId="0" borderId="30" xfId="0" applyNumberFormat="1" applyFont="1" applyFill="1" applyBorder="1" applyAlignment="1">
      <alignment horizontal="right" vertical="center" indent="1"/>
    </xf>
    <xf numFmtId="0" fontId="83" fillId="0" borderId="48" xfId="0" applyNumberFormat="1" applyFont="1" applyFill="1" applyBorder="1" applyAlignment="1" applyProtection="1">
      <alignment horizontal="center" vertical="center" readingOrder="1"/>
    </xf>
    <xf numFmtId="3" fontId="85" fillId="0" borderId="23" xfId="0" applyNumberFormat="1" applyFont="1" applyFill="1" applyBorder="1" applyAlignment="1">
      <alignment horizontal="right" vertical="center" indent="1"/>
    </xf>
    <xf numFmtId="0" fontId="15" fillId="3" borderId="56" xfId="1" applyFont="1" applyFill="1" applyBorder="1" applyAlignment="1">
      <alignment horizontal="center" vertical="center" wrapText="1"/>
    </xf>
    <xf numFmtId="0" fontId="56" fillId="0" borderId="28" xfId="0" applyFont="1" applyFill="1" applyBorder="1" applyAlignment="1">
      <alignment horizontal="center" vertical="center"/>
    </xf>
    <xf numFmtId="1" fontId="56" fillId="0" borderId="28" xfId="0" applyNumberFormat="1" applyFont="1" applyFill="1" applyBorder="1" applyAlignment="1">
      <alignment horizontal="right" vertical="center" indent="1"/>
    </xf>
    <xf numFmtId="164" fontId="56" fillId="0" borderId="28" xfId="0" applyNumberFormat="1" applyFont="1" applyFill="1" applyBorder="1" applyAlignment="1">
      <alignment horizontal="right" vertical="center" indent="1"/>
    </xf>
    <xf numFmtId="0" fontId="55" fillId="0" borderId="28" xfId="0" applyFont="1" applyFill="1" applyBorder="1" applyAlignment="1">
      <alignment horizontal="center" vertical="center"/>
    </xf>
    <xf numFmtId="3" fontId="64" fillId="0" borderId="41" xfId="1" applyNumberFormat="1" applyFont="1" applyFill="1" applyBorder="1" applyAlignment="1">
      <alignment horizontal="right" vertical="center" indent="1"/>
    </xf>
    <xf numFmtId="3" fontId="81" fillId="0" borderId="59" xfId="0" applyNumberFormat="1" applyFont="1" applyFill="1" applyBorder="1" applyAlignment="1">
      <alignment horizontal="right" vertical="center" indent="1"/>
    </xf>
    <xf numFmtId="0" fontId="86" fillId="0" borderId="24" xfId="0" applyFont="1" applyFill="1" applyBorder="1" applyAlignment="1">
      <alignment horizontal="center" vertical="center"/>
    </xf>
    <xf numFmtId="0" fontId="81" fillId="0" borderId="22" xfId="0" applyFont="1" applyFill="1" applyBorder="1" applyAlignment="1">
      <alignment horizontal="center" vertical="center"/>
    </xf>
    <xf numFmtId="3" fontId="53" fillId="0" borderId="41" xfId="1" applyNumberFormat="1" applyFont="1" applyFill="1" applyBorder="1" applyAlignment="1">
      <alignment horizontal="right" vertical="center" indent="1"/>
    </xf>
    <xf numFmtId="3" fontId="53" fillId="0" borderId="42" xfId="1" applyNumberFormat="1" applyFont="1" applyFill="1" applyBorder="1" applyAlignment="1">
      <alignment horizontal="right" vertical="center" indent="1"/>
    </xf>
    <xf numFmtId="3" fontId="53" fillId="0" borderId="30" xfId="1" applyNumberFormat="1" applyFont="1" applyFill="1" applyBorder="1" applyAlignment="1">
      <alignment horizontal="right" vertical="center" indent="1"/>
    </xf>
    <xf numFmtId="3" fontId="81" fillId="3" borderId="8" xfId="0" applyNumberFormat="1" applyFont="1" applyFill="1" applyBorder="1" applyAlignment="1" applyProtection="1">
      <alignment horizontal="right" vertical="center" indent="1"/>
    </xf>
    <xf numFmtId="0" fontId="1" fillId="0" borderId="28" xfId="1" applyBorder="1"/>
    <xf numFmtId="0" fontId="14" fillId="0" borderId="48" xfId="1" applyFont="1" applyFill="1" applyBorder="1" applyAlignment="1">
      <alignment horizontal="right" vertical="center" indent="1" readingOrder="1"/>
    </xf>
    <xf numFmtId="0" fontId="14" fillId="0" borderId="28" xfId="1" applyFont="1" applyFill="1" applyBorder="1" applyAlignment="1">
      <alignment horizontal="right" vertical="center" indent="1" readingOrder="1"/>
    </xf>
    <xf numFmtId="0" fontId="14" fillId="3" borderId="30" xfId="1" applyFont="1" applyFill="1" applyBorder="1" applyAlignment="1">
      <alignment horizontal="right" vertical="center" indent="1" readingOrder="1"/>
    </xf>
    <xf numFmtId="3" fontId="64" fillId="6" borderId="8" xfId="1" applyNumberFormat="1" applyFont="1" applyFill="1" applyBorder="1" applyAlignment="1">
      <alignment horizontal="right" vertical="center" indent="1" readingOrder="1"/>
    </xf>
    <xf numFmtId="3" fontId="65" fillId="0" borderId="41" xfId="1" applyNumberFormat="1" applyFont="1" applyFill="1" applyBorder="1" applyAlignment="1">
      <alignment horizontal="right" vertical="center" indent="1" readingOrder="1"/>
    </xf>
    <xf numFmtId="3" fontId="64" fillId="0" borderId="41" xfId="1" applyNumberFormat="1" applyFont="1" applyFill="1" applyBorder="1" applyAlignment="1">
      <alignment horizontal="right" vertical="center" indent="1" readingOrder="1"/>
    </xf>
    <xf numFmtId="3" fontId="64" fillId="0" borderId="41" xfId="1" applyNumberFormat="1" applyFont="1" applyFill="1" applyBorder="1" applyAlignment="1">
      <alignment horizontal="right" indent="1"/>
    </xf>
    <xf numFmtId="0" fontId="4" fillId="6" borderId="0" xfId="1" applyFont="1" applyFill="1" applyAlignment="1">
      <alignment horizontal="center" vertical="center" readingOrder="2"/>
    </xf>
    <xf numFmtId="3" fontId="64" fillId="0" borderId="31" xfId="1" applyNumberFormat="1" applyFont="1" applyFill="1" applyBorder="1" applyAlignment="1">
      <alignment horizontal="right" vertical="center" indent="1" readingOrder="1"/>
    </xf>
    <xf numFmtId="3" fontId="53" fillId="0" borderId="8" xfId="1" applyNumberFormat="1" applyFont="1" applyFill="1" applyBorder="1" applyAlignment="1">
      <alignment horizontal="right" vertical="center" indent="1" readingOrder="1"/>
    </xf>
    <xf numFmtId="3" fontId="53" fillId="0" borderId="11" xfId="1" applyNumberFormat="1" applyFont="1" applyFill="1" applyBorder="1" applyAlignment="1">
      <alignment horizontal="right" vertical="center" indent="1" readingOrder="1"/>
    </xf>
    <xf numFmtId="3" fontId="53" fillId="0" borderId="31" xfId="1" applyNumberFormat="1" applyFont="1" applyFill="1" applyBorder="1" applyAlignment="1">
      <alignment horizontal="right" vertical="center" indent="1" readingOrder="1"/>
    </xf>
    <xf numFmtId="0" fontId="15" fillId="0" borderId="24" xfId="0" applyNumberFormat="1" applyFont="1" applyFill="1" applyBorder="1" applyAlignment="1" applyProtection="1">
      <alignment horizontal="right" vertical="center" wrapText="1" readingOrder="2"/>
    </xf>
    <xf numFmtId="3" fontId="64" fillId="0" borderId="23" xfId="0" applyNumberFormat="1" applyFont="1" applyFill="1" applyBorder="1" applyAlignment="1" applyProtection="1">
      <alignment horizontal="right" vertical="center" indent="1"/>
    </xf>
    <xf numFmtId="0" fontId="14" fillId="0" borderId="22" xfId="0" applyNumberFormat="1" applyFont="1" applyFill="1" applyBorder="1" applyAlignment="1" applyProtection="1">
      <alignment horizontal="left" vertical="center" wrapText="1" readingOrder="1"/>
    </xf>
    <xf numFmtId="0" fontId="15" fillId="0" borderId="48" xfId="0" applyNumberFormat="1" applyFont="1" applyFill="1" applyBorder="1" applyAlignment="1" applyProtection="1">
      <alignment horizontal="right" vertical="center" wrapText="1" readingOrder="2"/>
    </xf>
    <xf numFmtId="3" fontId="64" fillId="0" borderId="30" xfId="0" applyNumberFormat="1" applyFont="1" applyFill="1" applyBorder="1" applyAlignment="1" applyProtection="1">
      <alignment horizontal="right" vertical="center" indent="1"/>
    </xf>
    <xf numFmtId="0" fontId="14" fillId="0" borderId="49" xfId="0" applyNumberFormat="1" applyFont="1" applyFill="1" applyBorder="1" applyAlignment="1" applyProtection="1">
      <alignment horizontal="left" vertical="center" wrapText="1" readingOrder="1"/>
    </xf>
    <xf numFmtId="164" fontId="1" fillId="0" borderId="8" xfId="18" applyNumberFormat="1" applyFont="1" applyFill="1" applyBorder="1">
      <alignment horizontal="right" vertical="center" indent="1"/>
    </xf>
    <xf numFmtId="0" fontId="4" fillId="0" borderId="60" xfId="17" applyFont="1" applyFill="1" applyBorder="1" applyAlignment="1">
      <alignment horizontal="center" vertical="center" wrapText="1" readingOrder="2"/>
    </xf>
    <xf numFmtId="3" fontId="1" fillId="0" borderId="61" xfId="18" applyNumberFormat="1" applyFont="1" applyFill="1" applyBorder="1">
      <alignment horizontal="right" vertical="center" indent="1"/>
    </xf>
    <xf numFmtId="164" fontId="1" fillId="0" borderId="61" xfId="16" applyNumberFormat="1" applyFont="1" applyFill="1" applyBorder="1">
      <alignment horizontal="right" vertical="center" indent="1"/>
    </xf>
    <xf numFmtId="0" fontId="14" fillId="0" borderId="62" xfId="17" applyFont="1" applyFill="1" applyBorder="1" applyAlignment="1">
      <alignment horizontal="center" vertical="center" wrapText="1" readingOrder="1"/>
    </xf>
    <xf numFmtId="0" fontId="4" fillId="3" borderId="63" xfId="17" applyFont="1" applyFill="1" applyBorder="1" applyAlignment="1">
      <alignment horizontal="center" vertical="center" wrapText="1" readingOrder="2"/>
    </xf>
    <xf numFmtId="3" fontId="1" fillId="3" borderId="64" xfId="18" applyNumberFormat="1" applyFont="1" applyFill="1" applyBorder="1">
      <alignment horizontal="right" vertical="center" indent="1"/>
    </xf>
    <xf numFmtId="164" fontId="1" fillId="3" borderId="64" xfId="16" applyNumberFormat="1" applyFont="1" applyFill="1" applyBorder="1">
      <alignment horizontal="right" vertical="center" indent="1"/>
    </xf>
    <xf numFmtId="0" fontId="14" fillId="3" borderId="65" xfId="17" applyFont="1" applyFill="1" applyBorder="1" applyAlignment="1">
      <alignment horizontal="center" vertical="center" wrapText="1" readingOrder="1"/>
    </xf>
    <xf numFmtId="0" fontId="56" fillId="3" borderId="16" xfId="17" applyFont="1" applyFill="1" applyBorder="1" applyAlignment="1">
      <alignment horizontal="right" vertical="center" wrapText="1" indent="1" readingOrder="2"/>
    </xf>
    <xf numFmtId="3" fontId="64" fillId="3" borderId="17" xfId="18" applyNumberFormat="1" applyFont="1" applyFill="1" applyBorder="1" applyAlignment="1">
      <alignment horizontal="right" vertical="center" indent="1"/>
    </xf>
    <xf numFmtId="0" fontId="56" fillId="6" borderId="7" xfId="17" applyFont="1" applyFill="1" applyBorder="1" applyAlignment="1">
      <alignment horizontal="right" vertical="center" wrapText="1" indent="1" readingOrder="2"/>
    </xf>
    <xf numFmtId="3" fontId="53" fillId="6" borderId="8" xfId="18" applyNumberFormat="1" applyFont="1" applyFill="1" applyBorder="1" applyAlignment="1">
      <alignment horizontal="right" vertical="center" indent="1"/>
    </xf>
    <xf numFmtId="3" fontId="64" fillId="6" borderId="8" xfId="18" applyNumberFormat="1" applyFont="1" applyFill="1" applyBorder="1" applyAlignment="1">
      <alignment horizontal="right" vertical="center" indent="1"/>
    </xf>
    <xf numFmtId="0" fontId="1" fillId="6" borderId="9" xfId="1" applyFont="1" applyFill="1" applyBorder="1" applyAlignment="1">
      <alignment horizontal="left" vertical="center" indent="1"/>
    </xf>
    <xf numFmtId="0" fontId="1" fillId="3" borderId="18" xfId="1" applyFont="1" applyFill="1" applyBorder="1" applyAlignment="1">
      <alignment horizontal="left" vertical="center" indent="1"/>
    </xf>
    <xf numFmtId="0" fontId="56" fillId="6" borderId="13" xfId="17" applyFont="1" applyFill="1" applyBorder="1" applyAlignment="1">
      <alignment horizontal="right" vertical="center" wrapText="1" indent="1" readingOrder="2"/>
    </xf>
    <xf numFmtId="3" fontId="53" fillId="6" borderId="14" xfId="18" applyNumberFormat="1" applyFont="1" applyFill="1" applyBorder="1" applyAlignment="1">
      <alignment horizontal="right" vertical="center" indent="1"/>
    </xf>
    <xf numFmtId="3" fontId="64" fillId="6" borderId="14" xfId="18" applyNumberFormat="1" applyFont="1" applyFill="1" applyBorder="1" applyAlignment="1">
      <alignment horizontal="right" vertical="center" indent="1"/>
    </xf>
    <xf numFmtId="0" fontId="1" fillId="6" borderId="15" xfId="1" applyFont="1" applyFill="1" applyBorder="1" applyAlignment="1">
      <alignment horizontal="left" vertical="center" indent="1"/>
    </xf>
    <xf numFmtId="0" fontId="4" fillId="6" borderId="44" xfId="17" applyFont="1" applyFill="1" applyBorder="1" applyAlignment="1">
      <alignment horizontal="right" vertical="center" wrapText="1" indent="1" readingOrder="2"/>
    </xf>
    <xf numFmtId="3" fontId="64" fillId="0" borderId="31" xfId="0" applyNumberFormat="1" applyFont="1" applyFill="1" applyBorder="1" applyAlignment="1" applyProtection="1">
      <alignment horizontal="right" vertical="center" indent="1"/>
    </xf>
    <xf numFmtId="0" fontId="1" fillId="6" borderId="45" xfId="17" applyFont="1" applyFill="1" applyBorder="1" applyAlignment="1">
      <alignment horizontal="left" vertical="center" wrapText="1" indent="1" readingOrder="1"/>
    </xf>
    <xf numFmtId="3" fontId="53" fillId="0" borderId="11" xfId="18" applyNumberFormat="1" applyFont="1" applyFill="1" applyBorder="1" applyAlignment="1">
      <alignment horizontal="right" vertical="center" indent="1"/>
    </xf>
    <xf numFmtId="3" fontId="64" fillId="0" borderId="23" xfId="16" applyNumberFormat="1" applyFont="1" applyFill="1" applyBorder="1" applyAlignment="1">
      <alignment horizontal="right" vertical="center" indent="1"/>
    </xf>
    <xf numFmtId="0" fontId="4" fillId="6" borderId="0" xfId="1" applyFont="1" applyFill="1"/>
    <xf numFmtId="0" fontId="56" fillId="0" borderId="13" xfId="1" applyFont="1" applyFill="1" applyBorder="1" applyAlignment="1">
      <alignment horizontal="right" vertical="center" wrapText="1" indent="1" readingOrder="2"/>
    </xf>
    <xf numFmtId="0" fontId="56" fillId="0" borderId="16" xfId="1" applyFont="1" applyFill="1" applyBorder="1" applyAlignment="1">
      <alignment horizontal="right" vertical="center" wrapText="1" indent="1" readingOrder="2"/>
    </xf>
    <xf numFmtId="0" fontId="56" fillId="0" borderId="19" xfId="1" applyFont="1" applyFill="1" applyBorder="1" applyAlignment="1">
      <alignment horizontal="right" vertical="center" wrapText="1" indent="1" readingOrder="2"/>
    </xf>
    <xf numFmtId="0" fontId="56" fillId="0" borderId="22" xfId="0" applyNumberFormat="1" applyFont="1" applyFill="1" applyBorder="1" applyAlignment="1" applyProtection="1">
      <alignment horizontal="center" vertical="center" wrapText="1" readingOrder="2"/>
    </xf>
    <xf numFmtId="0" fontId="56" fillId="0" borderId="24" xfId="0" applyFont="1" applyFill="1" applyBorder="1" applyAlignment="1">
      <alignment horizontal="center" vertical="center"/>
    </xf>
    <xf numFmtId="0" fontId="79" fillId="0" borderId="22" xfId="0" applyFont="1" applyFill="1" applyBorder="1" applyAlignment="1">
      <alignment horizontal="center" vertical="center"/>
    </xf>
    <xf numFmtId="0" fontId="79" fillId="0" borderId="24" xfId="0" applyFont="1" applyFill="1" applyBorder="1" applyAlignment="1">
      <alignment horizontal="center" vertical="center"/>
    </xf>
    <xf numFmtId="0" fontId="56" fillId="0" borderId="13" xfId="1" applyFont="1" applyFill="1" applyBorder="1" applyAlignment="1">
      <alignment horizontal="right" vertical="center" indent="1" readingOrder="2"/>
    </xf>
    <xf numFmtId="0" fontId="56" fillId="0" borderId="16" xfId="1" applyFont="1" applyFill="1" applyBorder="1" applyAlignment="1">
      <alignment horizontal="right" vertical="center" indent="1" readingOrder="2"/>
    </xf>
    <xf numFmtId="0" fontId="56" fillId="0" borderId="19" xfId="1" applyFont="1" applyFill="1" applyBorder="1" applyAlignment="1">
      <alignment horizontal="right" vertical="center" indent="1" readingOrder="2"/>
    </xf>
    <xf numFmtId="0" fontId="53" fillId="0" borderId="15" xfId="17" applyFont="1" applyFill="1" applyBorder="1" applyAlignment="1">
      <alignment horizontal="left" vertical="center" wrapText="1" indent="1" readingOrder="1"/>
    </xf>
    <xf numFmtId="0" fontId="53" fillId="0" borderId="18" xfId="17" applyFont="1" applyFill="1" applyBorder="1" applyAlignment="1">
      <alignment horizontal="left" vertical="center" wrapText="1" indent="1" readingOrder="1"/>
    </xf>
    <xf numFmtId="0" fontId="53" fillId="0" borderId="21" xfId="17" applyFont="1" applyFill="1" applyBorder="1" applyAlignment="1">
      <alignment horizontal="left" vertical="center" wrapText="1" indent="1" readingOrder="1"/>
    </xf>
    <xf numFmtId="0" fontId="44" fillId="3" borderId="41" xfId="1" applyFont="1" applyFill="1" applyBorder="1" applyAlignment="1">
      <alignment horizontal="center" vertical="top" wrapText="1" readingOrder="2"/>
    </xf>
    <xf numFmtId="0" fontId="44" fillId="3" borderId="41" xfId="1" applyFont="1" applyFill="1" applyBorder="1" applyAlignment="1">
      <alignment horizontal="center" vertical="top" wrapText="1" readingOrder="1"/>
    </xf>
    <xf numFmtId="49" fontId="44" fillId="3" borderId="41" xfId="1" applyNumberFormat="1" applyFont="1" applyFill="1" applyBorder="1" applyAlignment="1">
      <alignment horizontal="center" vertical="top" wrapText="1" readingOrder="1"/>
    </xf>
    <xf numFmtId="0" fontId="8" fillId="3" borderId="41" xfId="1" applyFont="1" applyFill="1" applyBorder="1" applyAlignment="1">
      <alignment horizontal="center" vertical="top" wrapText="1" readingOrder="2"/>
    </xf>
    <xf numFmtId="0" fontId="60" fillId="0" borderId="44" xfId="1" applyFont="1" applyFill="1" applyBorder="1" applyAlignment="1">
      <alignment horizontal="right" vertical="center" wrapText="1" indent="1" readingOrder="2"/>
    </xf>
    <xf numFmtId="0" fontId="61" fillId="0" borderId="31" xfId="1" applyFont="1" applyFill="1" applyBorder="1" applyAlignment="1">
      <alignment horizontal="right" vertical="center" indent="1" readingOrder="1"/>
    </xf>
    <xf numFmtId="0" fontId="57" fillId="0" borderId="45" xfId="1" applyFont="1" applyFill="1" applyBorder="1" applyAlignment="1">
      <alignment horizontal="left" vertical="center" wrapText="1" indent="1" readingOrder="1"/>
    </xf>
    <xf numFmtId="0" fontId="15" fillId="0" borderId="49" xfId="1" applyFont="1" applyFill="1" applyBorder="1" applyAlignment="1">
      <alignment horizontal="right" vertical="center" wrapText="1" indent="1" readingOrder="2"/>
    </xf>
    <xf numFmtId="0" fontId="17" fillId="0" borderId="30" xfId="1" applyFont="1" applyFill="1" applyBorder="1" applyAlignment="1">
      <alignment horizontal="right" vertical="center" indent="1" readingOrder="1"/>
    </xf>
    <xf numFmtId="0" fontId="15" fillId="0" borderId="30" xfId="1" applyFont="1" applyFill="1" applyBorder="1" applyAlignment="1">
      <alignment horizontal="right" vertical="center" indent="1" readingOrder="1"/>
    </xf>
    <xf numFmtId="0" fontId="1" fillId="0" borderId="48" xfId="1" applyFont="1" applyFill="1" applyBorder="1" applyAlignment="1">
      <alignment horizontal="left" vertical="center" wrapText="1" indent="1" readingOrder="1"/>
    </xf>
    <xf numFmtId="0" fontId="56" fillId="6" borderId="13" xfId="0" applyFont="1" applyFill="1" applyBorder="1" applyAlignment="1">
      <alignment horizontal="right" vertical="center" indent="1" readingOrder="2"/>
    </xf>
    <xf numFmtId="0" fontId="79" fillId="3" borderId="16" xfId="0" applyFont="1" applyFill="1" applyBorder="1" applyAlignment="1">
      <alignment horizontal="right" vertical="center" indent="1" readingOrder="2"/>
    </xf>
    <xf numFmtId="3" fontId="80" fillId="3" borderId="17" xfId="0" applyNumberFormat="1" applyFont="1" applyFill="1" applyBorder="1" applyAlignment="1">
      <alignment horizontal="right" vertical="center" indent="1"/>
    </xf>
    <xf numFmtId="3" fontId="81" fillId="3" borderId="17" xfId="0" applyNumberFormat="1" applyFont="1" applyFill="1" applyBorder="1" applyAlignment="1">
      <alignment horizontal="right" vertical="center" indent="1"/>
    </xf>
    <xf numFmtId="0" fontId="81" fillId="3" borderId="18" xfId="0" applyFont="1" applyFill="1" applyBorder="1" applyAlignment="1">
      <alignment horizontal="left" vertical="center" indent="1"/>
    </xf>
    <xf numFmtId="0" fontId="79" fillId="6" borderId="16" xfId="0" applyFont="1" applyFill="1" applyBorder="1" applyAlignment="1">
      <alignment horizontal="right" vertical="center" indent="1" readingOrder="2"/>
    </xf>
    <xf numFmtId="3" fontId="80" fillId="6" borderId="17" xfId="0" applyNumberFormat="1" applyFont="1" applyFill="1" applyBorder="1" applyAlignment="1">
      <alignment horizontal="right" vertical="center" indent="1"/>
    </xf>
    <xf numFmtId="3" fontId="81" fillId="6" borderId="17" xfId="0" applyNumberFormat="1" applyFont="1" applyFill="1" applyBorder="1" applyAlignment="1">
      <alignment horizontal="right" vertical="center" indent="1"/>
    </xf>
    <xf numFmtId="0" fontId="81" fillId="6" borderId="18" xfId="0" applyFont="1" applyFill="1" applyBorder="1" applyAlignment="1">
      <alignment horizontal="left" vertical="center" indent="1"/>
    </xf>
    <xf numFmtId="0" fontId="79" fillId="6" borderId="19" xfId="0" applyFont="1" applyFill="1" applyBorder="1" applyAlignment="1">
      <alignment horizontal="right" vertical="center" indent="1" readingOrder="2"/>
    </xf>
    <xf numFmtId="3" fontId="80" fillId="6" borderId="20" xfId="0" applyNumberFormat="1" applyFont="1" applyFill="1" applyBorder="1" applyAlignment="1">
      <alignment horizontal="right" vertical="center" indent="1"/>
    </xf>
    <xf numFmtId="3" fontId="81" fillId="6" borderId="20" xfId="0" applyNumberFormat="1" applyFont="1" applyFill="1" applyBorder="1" applyAlignment="1">
      <alignment horizontal="right" vertical="center" indent="1"/>
    </xf>
    <xf numFmtId="0" fontId="81" fillId="6" borderId="21" xfId="0" applyFont="1" applyFill="1" applyBorder="1" applyAlignment="1">
      <alignment horizontal="left" vertical="center" indent="1"/>
    </xf>
    <xf numFmtId="3" fontId="14" fillId="0" borderId="8" xfId="1" applyNumberFormat="1" applyFont="1" applyFill="1" applyBorder="1" applyAlignment="1">
      <alignment horizontal="right" vertical="center" indent="1"/>
    </xf>
    <xf numFmtId="3" fontId="14" fillId="3" borderId="15" xfId="1" applyNumberFormat="1" applyFont="1" applyFill="1" applyBorder="1" applyAlignment="1">
      <alignment horizontal="right" vertical="center" indent="1" readingOrder="1"/>
    </xf>
    <xf numFmtId="165" fontId="14" fillId="3" borderId="15" xfId="1" applyNumberFormat="1" applyFont="1" applyFill="1" applyBorder="1" applyAlignment="1">
      <alignment horizontal="right" vertical="center" indent="1" readingOrder="1"/>
    </xf>
    <xf numFmtId="165" fontId="14" fillId="3" borderId="18" xfId="1" applyNumberFormat="1" applyFont="1" applyFill="1" applyBorder="1" applyAlignment="1">
      <alignment horizontal="right" vertical="center" indent="1" readingOrder="1"/>
    </xf>
    <xf numFmtId="3" fontId="14" fillId="3" borderId="40" xfId="1" applyNumberFormat="1" applyFont="1" applyFill="1" applyBorder="1" applyAlignment="1">
      <alignment horizontal="right" vertical="center" indent="1" readingOrder="1"/>
    </xf>
    <xf numFmtId="165" fontId="14" fillId="3" borderId="21" xfId="1" applyNumberFormat="1" applyFont="1" applyFill="1" applyBorder="1" applyAlignment="1">
      <alignment horizontal="right" vertical="center" indent="1" readingOrder="1"/>
    </xf>
    <xf numFmtId="3" fontId="53" fillId="6" borderId="11" xfId="1" applyNumberFormat="1" applyFont="1" applyFill="1" applyBorder="1" applyAlignment="1">
      <alignment horizontal="right" vertical="center" indent="1" readingOrder="1"/>
    </xf>
    <xf numFmtId="3" fontId="53" fillId="6" borderId="10" xfId="1" applyNumberFormat="1" applyFont="1" applyFill="1" applyBorder="1" applyAlignment="1">
      <alignment horizontal="right" vertical="center" indent="1" readingOrder="1"/>
    </xf>
    <xf numFmtId="3" fontId="1" fillId="0" borderId="41" xfId="1" applyNumberFormat="1" applyFont="1" applyFill="1" applyBorder="1" applyAlignment="1">
      <alignment vertical="center" readingOrder="1"/>
    </xf>
    <xf numFmtId="0" fontId="4" fillId="6" borderId="0" xfId="4" applyFont="1" applyFill="1" applyAlignment="1">
      <alignment horizontal="center"/>
    </xf>
    <xf numFmtId="0" fontId="56" fillId="6" borderId="49" xfId="17" applyFont="1" applyFill="1" applyBorder="1" applyAlignment="1">
      <alignment horizontal="right" vertical="center" wrapText="1" indent="1" readingOrder="2"/>
    </xf>
    <xf numFmtId="3" fontId="53" fillId="6" borderId="30" xfId="18" applyNumberFormat="1" applyFont="1" applyFill="1" applyBorder="1" applyAlignment="1">
      <alignment horizontal="right" vertical="center" indent="1"/>
    </xf>
    <xf numFmtId="3" fontId="64" fillId="6" borderId="30" xfId="18" applyNumberFormat="1" applyFont="1" applyFill="1" applyBorder="1" applyAlignment="1">
      <alignment horizontal="right" vertical="center" indent="1"/>
    </xf>
    <xf numFmtId="0" fontId="1" fillId="6" borderId="48" xfId="1" applyFont="1" applyFill="1" applyBorder="1" applyAlignment="1">
      <alignment horizontal="left" vertical="center" indent="1"/>
    </xf>
    <xf numFmtId="0" fontId="79" fillId="3" borderId="49" xfId="0" applyNumberFormat="1" applyFont="1" applyFill="1" applyBorder="1" applyAlignment="1" applyProtection="1">
      <alignment horizontal="right" vertical="center" wrapText="1" indent="1" readingOrder="2"/>
    </xf>
    <xf numFmtId="0" fontId="83" fillId="3" borderId="48" xfId="0" applyNumberFormat="1" applyFont="1" applyFill="1" applyBorder="1" applyAlignment="1" applyProtection="1">
      <alignment horizontal="center" vertical="center"/>
    </xf>
    <xf numFmtId="0" fontId="15" fillId="3" borderId="66" xfId="1" applyFont="1" applyFill="1" applyBorder="1" applyAlignment="1">
      <alignment horizontal="center" vertical="center" wrapText="1"/>
    </xf>
    <xf numFmtId="1" fontId="1" fillId="0" borderId="8" xfId="18" applyNumberFormat="1" applyFont="1" applyFill="1" applyBorder="1">
      <alignment horizontal="right" vertical="center" indent="1"/>
    </xf>
    <xf numFmtId="1" fontId="1" fillId="3" borderId="17" xfId="18" applyNumberFormat="1" applyFont="1" applyFill="1" applyBorder="1">
      <alignment horizontal="right" vertical="center" indent="1"/>
    </xf>
    <xf numFmtId="1" fontId="1" fillId="0" borderId="17" xfId="18" applyNumberFormat="1" applyFont="1" applyFill="1" applyBorder="1">
      <alignment horizontal="right" vertical="center" indent="1"/>
    </xf>
    <xf numFmtId="1" fontId="1" fillId="3" borderId="11" xfId="18" applyNumberFormat="1" applyFont="1" applyFill="1" applyBorder="1">
      <alignment horizontal="right" vertical="center" indent="1"/>
    </xf>
    <xf numFmtId="0" fontId="32" fillId="0" borderId="25" xfId="1" applyFont="1" applyBorder="1" applyAlignment="1">
      <alignment horizontal="center" vertical="center" wrapText="1" readingOrder="2"/>
    </xf>
    <xf numFmtId="0" fontId="14" fillId="0" borderId="25" xfId="0" applyFont="1" applyBorder="1" applyAlignment="1">
      <alignment horizontal="center" vertical="center" wrapText="1" readingOrder="2"/>
    </xf>
    <xf numFmtId="0" fontId="76" fillId="0" borderId="25" xfId="1" applyFont="1" applyBorder="1" applyAlignment="1">
      <alignment horizontal="center" vertical="center" wrapText="1" readingOrder="2"/>
    </xf>
    <xf numFmtId="0" fontId="78" fillId="0" borderId="25" xfId="0" applyFont="1" applyBorder="1" applyAlignment="1">
      <alignment horizontal="center" vertical="center" wrapText="1"/>
    </xf>
    <xf numFmtId="0" fontId="14" fillId="0" borderId="25" xfId="1" applyFont="1" applyBorder="1" applyAlignment="1">
      <alignment horizontal="right" vertical="top" wrapText="1" indent="1" readingOrder="2"/>
    </xf>
    <xf numFmtId="0" fontId="1" fillId="0" borderId="25" xfId="0" applyFont="1" applyBorder="1" applyAlignment="1">
      <alignment horizontal="left" vertical="center" wrapText="1" indent="1"/>
    </xf>
    <xf numFmtId="0" fontId="1" fillId="0" borderId="25" xfId="34" applyFont="1" applyBorder="1" applyAlignment="1">
      <alignment horizontal="left" vertical="center" wrapText="1" indent="1"/>
    </xf>
    <xf numFmtId="0" fontId="14" fillId="0" borderId="25" xfId="1" applyFont="1" applyBorder="1" applyAlignment="1">
      <alignment horizontal="right" vertical="center" wrapText="1" indent="1" readingOrder="2"/>
    </xf>
    <xf numFmtId="0" fontId="30" fillId="0" borderId="25" xfId="1" applyFont="1" applyBorder="1" applyAlignment="1">
      <alignment horizontal="center" vertical="top" wrapText="1" readingOrder="2"/>
    </xf>
    <xf numFmtId="0" fontId="27" fillId="0" borderId="71" xfId="1" applyFont="1" applyBorder="1" applyAlignment="1">
      <alignment horizontal="right" vertical="center" wrapText="1" indent="1" readingOrder="2"/>
    </xf>
    <xf numFmtId="49" fontId="5" fillId="0" borderId="71" xfId="1" applyNumberFormat="1" applyFont="1" applyBorder="1" applyAlignment="1">
      <alignment horizontal="center" vertical="center" wrapText="1" readingOrder="1"/>
    </xf>
    <xf numFmtId="0" fontId="5" fillId="0" borderId="71" xfId="1" applyFont="1" applyBorder="1" applyAlignment="1">
      <alignment horizontal="center" vertical="center" wrapText="1" readingOrder="1"/>
    </xf>
    <xf numFmtId="0" fontId="26" fillId="0" borderId="71" xfId="1" applyFont="1" applyBorder="1" applyAlignment="1">
      <alignment horizontal="justify" vertical="center" wrapText="1"/>
    </xf>
    <xf numFmtId="0" fontId="14" fillId="3" borderId="67" xfId="1" applyFont="1" applyFill="1" applyBorder="1" applyAlignment="1">
      <alignment horizontal="center" vertical="center" wrapText="1" readingOrder="2"/>
    </xf>
    <xf numFmtId="49" fontId="14" fillId="3" borderId="67" xfId="1" applyNumberFormat="1" applyFont="1" applyFill="1" applyBorder="1" applyAlignment="1">
      <alignment horizontal="center" vertical="center" wrapText="1" readingOrder="1"/>
    </xf>
    <xf numFmtId="0" fontId="14" fillId="3" borderId="67" xfId="1" applyFont="1" applyFill="1" applyBorder="1" applyAlignment="1">
      <alignment horizontal="center" vertical="center" wrapText="1" readingOrder="1"/>
    </xf>
    <xf numFmtId="0" fontId="14" fillId="0" borderId="71" xfId="1" applyFont="1" applyBorder="1" applyAlignment="1">
      <alignment horizontal="right" vertical="top" wrapText="1" indent="1" readingOrder="2"/>
    </xf>
    <xf numFmtId="49" fontId="5" fillId="0" borderId="71" xfId="1" applyNumberFormat="1" applyFont="1" applyBorder="1" applyAlignment="1">
      <alignment horizontal="center" vertical="top" wrapText="1" readingOrder="1"/>
    </xf>
    <xf numFmtId="0" fontId="5" fillId="0" borderId="71" xfId="1" applyFont="1" applyBorder="1" applyAlignment="1">
      <alignment horizontal="center" vertical="top" wrapText="1" readingOrder="1"/>
    </xf>
    <xf numFmtId="0" fontId="1" fillId="0" borderId="71" xfId="34" applyFont="1" applyBorder="1" applyAlignment="1">
      <alignment horizontal="left" vertical="center" wrapText="1" indent="1"/>
    </xf>
    <xf numFmtId="0" fontId="33" fillId="0" borderId="25" xfId="1" applyFont="1" applyBorder="1" applyAlignment="1">
      <alignment horizontal="right" vertical="center" wrapText="1" indent="1" readingOrder="2"/>
    </xf>
    <xf numFmtId="0" fontId="28" fillId="0" borderId="25" xfId="1" applyFont="1" applyBorder="1" applyAlignment="1">
      <alignment horizontal="center" vertical="center" wrapText="1" readingOrder="1"/>
    </xf>
    <xf numFmtId="0" fontId="28" fillId="0" borderId="25" xfId="1" applyFont="1" applyBorder="1" applyAlignment="1">
      <alignment horizontal="left" vertical="center" wrapText="1" indent="1"/>
    </xf>
    <xf numFmtId="0" fontId="28" fillId="0" borderId="25" xfId="1" applyFont="1" applyBorder="1" applyAlignment="1">
      <alignment horizontal="left" vertical="top" wrapText="1" indent="1" readingOrder="1"/>
    </xf>
    <xf numFmtId="0" fontId="1" fillId="0" borderId="71" xfId="1" applyBorder="1" applyAlignment="1">
      <alignment horizontal="left" vertical="center" wrapText="1" indent="1"/>
    </xf>
    <xf numFmtId="0" fontId="79" fillId="3" borderId="22" xfId="0" applyNumberFormat="1" applyFont="1" applyFill="1" applyBorder="1" applyAlignment="1" applyProtection="1">
      <alignment horizontal="right" vertical="center" wrapText="1" indent="1" readingOrder="2"/>
    </xf>
    <xf numFmtId="3" fontId="81" fillId="3" borderId="23" xfId="0" applyNumberFormat="1" applyFont="1" applyFill="1" applyBorder="1" applyAlignment="1" applyProtection="1">
      <alignment horizontal="right" vertical="center" indent="1"/>
    </xf>
    <xf numFmtId="0" fontId="83" fillId="3" borderId="24" xfId="0" applyNumberFormat="1" applyFont="1" applyFill="1" applyBorder="1" applyAlignment="1" applyProtection="1">
      <alignment horizontal="center" vertical="center"/>
    </xf>
    <xf numFmtId="0" fontId="12" fillId="3" borderId="68" xfId="1" applyFont="1" applyFill="1" applyBorder="1" applyAlignment="1">
      <alignment horizontal="center" vertical="center"/>
    </xf>
    <xf numFmtId="0" fontId="12" fillId="3" borderId="69" xfId="1" applyFont="1" applyFill="1" applyBorder="1" applyAlignment="1">
      <alignment horizontal="center" vertical="center"/>
    </xf>
    <xf numFmtId="0" fontId="12" fillId="3" borderId="70" xfId="1" applyFont="1" applyFill="1" applyBorder="1" applyAlignment="1">
      <alignment horizontal="center" vertical="center"/>
    </xf>
    <xf numFmtId="0" fontId="12" fillId="3" borderId="67" xfId="1" applyFont="1" applyFill="1" applyBorder="1" applyAlignment="1">
      <alignment horizontal="center" vertical="center"/>
    </xf>
    <xf numFmtId="0" fontId="12" fillId="3" borderId="27" xfId="1" applyFont="1" applyFill="1" applyBorder="1" applyAlignment="1">
      <alignment horizontal="center" vertical="center" wrapText="1" readingOrder="2"/>
    </xf>
    <xf numFmtId="0" fontId="12" fillId="3" borderId="26" xfId="1" applyFont="1" applyFill="1" applyBorder="1" applyAlignment="1">
      <alignment horizontal="center" vertical="center" wrapText="1" readingOrder="2"/>
    </xf>
    <xf numFmtId="0" fontId="4" fillId="3" borderId="27" xfId="1" applyFont="1" applyFill="1" applyBorder="1" applyAlignment="1">
      <alignment horizontal="center" vertical="center" wrapText="1" readingOrder="2"/>
    </xf>
    <xf numFmtId="0" fontId="4" fillId="3" borderId="26" xfId="1" applyFont="1" applyFill="1" applyBorder="1" applyAlignment="1">
      <alignment horizontal="center" vertical="center" wrapText="1" readingOrder="2"/>
    </xf>
    <xf numFmtId="0" fontId="17" fillId="0" borderId="0" xfId="1" applyFont="1" applyBorder="1" applyAlignment="1">
      <alignment horizontal="left" vertical="top" wrapText="1"/>
    </xf>
    <xf numFmtId="0" fontId="1" fillId="0" borderId="0" xfId="1" applyFont="1" applyBorder="1" applyAlignment="1">
      <alignment horizontal="left" vertical="top" wrapText="1"/>
    </xf>
    <xf numFmtId="0" fontId="4" fillId="3" borderId="27" xfId="1" applyFont="1" applyFill="1" applyBorder="1" applyAlignment="1">
      <alignment horizontal="center" vertical="center" wrapText="1"/>
    </xf>
    <xf numFmtId="0" fontId="4" fillId="3" borderId="26" xfId="1" applyFont="1" applyFill="1" applyBorder="1" applyAlignment="1">
      <alignment horizontal="center" vertical="center" wrapText="1"/>
    </xf>
    <xf numFmtId="0" fontId="17" fillId="0" borderId="0" xfId="1" applyFont="1" applyAlignment="1">
      <alignment horizontal="left" vertical="top" wrapText="1"/>
    </xf>
    <xf numFmtId="0" fontId="1" fillId="3" borderId="26" xfId="1" applyFont="1" applyFill="1" applyBorder="1" applyAlignment="1">
      <alignment horizontal="center" vertical="center" wrapText="1"/>
    </xf>
    <xf numFmtId="0" fontId="35" fillId="0" borderId="0" xfId="1" applyFont="1" applyBorder="1" applyAlignment="1">
      <alignment horizontal="center" vertical="center" wrapText="1" readingOrder="2"/>
    </xf>
    <xf numFmtId="0" fontId="4" fillId="0" borderId="0" xfId="1" applyFont="1" applyBorder="1" applyAlignment="1">
      <alignment horizontal="right" wrapText="1" readingOrder="2"/>
    </xf>
    <xf numFmtId="0" fontId="4" fillId="0" borderId="0" xfId="1" applyFont="1" applyAlignment="1">
      <alignment horizontal="right" vertical="top" wrapText="1" indent="1" readingOrder="2"/>
    </xf>
    <xf numFmtId="0" fontId="4" fillId="3" borderId="27" xfId="1" applyFont="1" applyFill="1" applyBorder="1" applyAlignment="1">
      <alignment horizontal="center" vertical="center" wrapText="1" readingOrder="1"/>
    </xf>
    <xf numFmtId="0" fontId="4" fillId="3" borderId="26" xfId="1" applyFont="1" applyFill="1" applyBorder="1" applyAlignment="1">
      <alignment horizontal="center" vertical="center" wrapText="1" readingOrder="1"/>
    </xf>
    <xf numFmtId="0" fontId="1" fillId="0" borderId="0" xfId="1" applyFont="1" applyAlignment="1">
      <alignment horizontal="left" vertical="top" wrapText="1" indent="1" readingOrder="1"/>
    </xf>
    <xf numFmtId="0" fontId="14" fillId="0" borderId="0" xfId="1" applyFont="1" applyBorder="1" applyAlignment="1">
      <alignment horizontal="left" wrapText="1" readingOrder="1"/>
    </xf>
    <xf numFmtId="0" fontId="1" fillId="0" borderId="29" xfId="1" applyFont="1" applyBorder="1" applyAlignment="1">
      <alignment horizontal="center" wrapText="1" readingOrder="1"/>
    </xf>
    <xf numFmtId="0" fontId="1" fillId="0" borderId="28" xfId="1" applyFont="1" applyBorder="1" applyAlignment="1">
      <alignment horizontal="center" wrapText="1" readingOrder="1"/>
    </xf>
    <xf numFmtId="0" fontId="1" fillId="0" borderId="0" xfId="1" applyFont="1" applyAlignment="1">
      <alignment horizontal="right" vertical="center" wrapText="1" readingOrder="1"/>
    </xf>
    <xf numFmtId="0" fontId="16" fillId="0" borderId="0" xfId="1" applyFont="1" applyAlignment="1">
      <alignment horizontal="left" vertical="center" wrapText="1" readingOrder="1"/>
    </xf>
    <xf numFmtId="0" fontId="12" fillId="6" borderId="0" xfId="2" applyFont="1" applyFill="1" applyAlignment="1">
      <alignment horizontal="center"/>
    </xf>
    <xf numFmtId="164" fontId="7" fillId="3" borderId="23" xfId="1" applyNumberFormat="1" applyFont="1" applyFill="1" applyBorder="1" applyAlignment="1">
      <alignment horizontal="center" vertical="center" wrapText="1"/>
    </xf>
    <xf numFmtId="164" fontId="7" fillId="3" borderId="30" xfId="1" applyNumberFormat="1" applyFont="1" applyFill="1" applyBorder="1" applyAlignment="1">
      <alignment horizontal="center" vertical="center" wrapText="1"/>
    </xf>
    <xf numFmtId="0" fontId="7" fillId="3" borderId="7" xfId="1" applyFont="1" applyFill="1" applyBorder="1" applyAlignment="1">
      <alignment horizontal="center" vertical="center" wrapText="1"/>
    </xf>
    <xf numFmtId="0" fontId="7" fillId="3" borderId="16" xfId="1" applyFont="1" applyFill="1" applyBorder="1" applyAlignment="1">
      <alignment horizontal="center" vertical="center" wrapText="1"/>
    </xf>
    <xf numFmtId="0" fontId="7" fillId="3" borderId="10" xfId="1" applyFont="1" applyFill="1" applyBorder="1" applyAlignment="1">
      <alignment horizontal="center" vertical="center" wrapText="1"/>
    </xf>
    <xf numFmtId="0" fontId="4" fillId="6" borderId="0" xfId="4" applyFont="1" applyFill="1" applyBorder="1" applyAlignment="1">
      <alignment horizontal="center" wrapText="1" readingOrder="1"/>
    </xf>
    <xf numFmtId="0" fontId="4" fillId="6" borderId="0" xfId="4" applyFont="1" applyFill="1" applyBorder="1" applyAlignment="1">
      <alignment horizontal="center" readingOrder="1"/>
    </xf>
    <xf numFmtId="0" fontId="7" fillId="3" borderId="9" xfId="1" applyFont="1" applyFill="1" applyBorder="1" applyAlignment="1">
      <alignment horizontal="center" vertical="center" wrapText="1"/>
    </xf>
    <xf numFmtId="0" fontId="7" fillId="3" borderId="18" xfId="1" applyFont="1" applyFill="1" applyBorder="1" applyAlignment="1">
      <alignment horizontal="center" vertical="center" wrapText="1"/>
    </xf>
    <xf numFmtId="0" fontId="7" fillId="3" borderId="12" xfId="1" applyFont="1" applyFill="1" applyBorder="1" applyAlignment="1">
      <alignment horizontal="center" vertical="center" wrapText="1"/>
    </xf>
    <xf numFmtId="0" fontId="14" fillId="0" borderId="0" xfId="1" applyFont="1" applyAlignment="1">
      <alignment horizontal="center" readingOrder="1"/>
    </xf>
    <xf numFmtId="0" fontId="7" fillId="3" borderId="42" xfId="1" applyFont="1" applyFill="1" applyBorder="1" applyAlignment="1">
      <alignment horizontal="center" vertical="center" wrapText="1"/>
    </xf>
    <xf numFmtId="0" fontId="7" fillId="3" borderId="40" xfId="1" applyFont="1" applyFill="1" applyBorder="1" applyAlignment="1">
      <alignment horizontal="center" vertical="center" wrapText="1"/>
    </xf>
    <xf numFmtId="164" fontId="7" fillId="3" borderId="24" xfId="1" applyNumberFormat="1" applyFont="1" applyFill="1" applyBorder="1" applyAlignment="1">
      <alignment horizontal="center" vertical="center" wrapText="1"/>
    </xf>
    <xf numFmtId="164" fontId="7" fillId="3" borderId="34" xfId="1" applyNumberFormat="1" applyFont="1" applyFill="1" applyBorder="1" applyAlignment="1">
      <alignment horizontal="center" vertical="center" wrapText="1"/>
    </xf>
    <xf numFmtId="164" fontId="7" fillId="3" borderId="22" xfId="1" applyNumberFormat="1" applyFont="1" applyFill="1" applyBorder="1" applyAlignment="1">
      <alignment horizontal="center" vertical="center" wrapText="1"/>
    </xf>
    <xf numFmtId="164" fontId="7" fillId="3" borderId="48" xfId="1" applyNumberFormat="1" applyFont="1" applyFill="1" applyBorder="1" applyAlignment="1">
      <alignment horizontal="center" vertical="center" wrapText="1"/>
    </xf>
    <xf numFmtId="164" fontId="7" fillId="3" borderId="28" xfId="1" applyNumberFormat="1" applyFont="1" applyFill="1" applyBorder="1" applyAlignment="1">
      <alignment horizontal="center" vertical="center" wrapText="1"/>
    </xf>
    <xf numFmtId="164" fontId="7" fillId="3" borderId="49" xfId="1" applyNumberFormat="1" applyFont="1" applyFill="1" applyBorder="1" applyAlignment="1">
      <alignment horizontal="center" vertical="center" wrapText="1"/>
    </xf>
    <xf numFmtId="0" fontId="7" fillId="3" borderId="22" xfId="1" applyFont="1" applyFill="1" applyBorder="1" applyAlignment="1">
      <alignment horizontal="center" vertical="center" wrapText="1" readingOrder="1"/>
    </xf>
    <xf numFmtId="0" fontId="7" fillId="3" borderId="49" xfId="1" applyFont="1" applyFill="1" applyBorder="1" applyAlignment="1">
      <alignment horizontal="center" vertical="center" wrapText="1" readingOrder="1"/>
    </xf>
    <xf numFmtId="0" fontId="7" fillId="3" borderId="24" xfId="1" applyFont="1" applyFill="1" applyBorder="1" applyAlignment="1">
      <alignment horizontal="center" vertical="center" wrapText="1" readingOrder="1"/>
    </xf>
    <xf numFmtId="0" fontId="7" fillId="3" borderId="48" xfId="1" applyFont="1" applyFill="1" applyBorder="1" applyAlignment="1">
      <alignment horizontal="center" vertical="center" wrapText="1" readingOrder="1"/>
    </xf>
    <xf numFmtId="0" fontId="4" fillId="6" borderId="0" xfId="4" applyFont="1" applyFill="1" applyAlignment="1">
      <alignment horizontal="center" wrapText="1"/>
    </xf>
    <xf numFmtId="0" fontId="4" fillId="6" borderId="0" xfId="4" applyFont="1" applyFill="1" applyAlignment="1">
      <alignment horizontal="center"/>
    </xf>
    <xf numFmtId="0" fontId="7" fillId="3" borderId="7" xfId="1" applyFont="1" applyFill="1" applyBorder="1" applyAlignment="1">
      <alignment horizontal="center" vertical="center" wrapText="1" readingOrder="1"/>
    </xf>
    <xf numFmtId="0" fontId="7" fillId="3" borderId="19" xfId="1" applyFont="1" applyFill="1" applyBorder="1" applyAlignment="1">
      <alignment horizontal="center" vertical="center" wrapText="1" readingOrder="1"/>
    </xf>
    <xf numFmtId="0" fontId="7" fillId="3" borderId="9" xfId="1" applyFont="1" applyFill="1" applyBorder="1" applyAlignment="1">
      <alignment horizontal="center" vertical="center" wrapText="1" readingOrder="1"/>
    </xf>
    <xf numFmtId="0" fontId="7" fillId="3" borderId="21" xfId="1" applyFont="1" applyFill="1" applyBorder="1" applyAlignment="1">
      <alignment horizontal="center" vertical="center" wrapText="1" readingOrder="1"/>
    </xf>
    <xf numFmtId="0" fontId="7" fillId="3" borderId="23" xfId="1" applyFont="1" applyFill="1" applyBorder="1" applyAlignment="1">
      <alignment horizontal="center" vertical="center" wrapText="1"/>
    </xf>
    <xf numFmtId="0" fontId="7" fillId="3" borderId="24" xfId="1" applyFont="1" applyFill="1" applyBorder="1" applyAlignment="1">
      <alignment horizontal="center" vertical="center" wrapText="1"/>
    </xf>
    <xf numFmtId="0" fontId="7" fillId="3" borderId="48" xfId="1" applyFont="1" applyFill="1" applyBorder="1" applyAlignment="1">
      <alignment horizontal="center" vertical="center" wrapText="1"/>
    </xf>
    <xf numFmtId="0" fontId="7" fillId="3" borderId="22" xfId="1" applyFont="1" applyFill="1" applyBorder="1" applyAlignment="1">
      <alignment horizontal="center" vertical="center" wrapText="1"/>
    </xf>
    <xf numFmtId="0" fontId="7" fillId="3" borderId="49" xfId="1" applyFont="1" applyFill="1" applyBorder="1" applyAlignment="1">
      <alignment horizontal="center" vertical="center" wrapText="1"/>
    </xf>
    <xf numFmtId="0" fontId="15" fillId="3" borderId="30" xfId="1" applyFont="1" applyFill="1" applyBorder="1" applyAlignment="1">
      <alignment horizontal="center" vertical="center" wrapText="1"/>
    </xf>
    <xf numFmtId="0" fontId="15" fillId="3" borderId="7" xfId="1" applyFont="1" applyFill="1" applyBorder="1" applyAlignment="1">
      <alignment horizontal="center" vertical="center" wrapText="1"/>
    </xf>
    <xf numFmtId="0" fontId="15" fillId="3" borderId="10" xfId="1" applyFont="1" applyFill="1" applyBorder="1" applyAlignment="1">
      <alignment horizontal="center" vertical="center" wrapText="1"/>
    </xf>
    <xf numFmtId="0" fontId="15" fillId="3" borderId="9" xfId="1" applyFont="1" applyFill="1" applyBorder="1" applyAlignment="1">
      <alignment horizontal="center" vertical="center" wrapText="1"/>
    </xf>
    <xf numFmtId="0" fontId="15" fillId="3" borderId="12" xfId="1" applyFont="1" applyFill="1" applyBorder="1" applyAlignment="1">
      <alignment horizontal="center" vertical="center" wrapText="1"/>
    </xf>
    <xf numFmtId="0" fontId="12" fillId="6" borderId="0" xfId="2" applyFont="1" applyFill="1" applyAlignment="1">
      <alignment horizontal="center" vertical="center"/>
    </xf>
    <xf numFmtId="0" fontId="4" fillId="6" borderId="0" xfId="4" applyFont="1" applyFill="1" applyAlignment="1">
      <alignment horizontal="center" vertical="center" wrapText="1"/>
    </xf>
    <xf numFmtId="0" fontId="14" fillId="0" borderId="0" xfId="1" applyFont="1" applyAlignment="1">
      <alignment readingOrder="1"/>
    </xf>
    <xf numFmtId="0" fontId="15" fillId="3" borderId="19" xfId="1" applyFont="1" applyFill="1" applyBorder="1" applyAlignment="1">
      <alignment horizontal="center" vertical="center" wrapText="1"/>
    </xf>
    <xf numFmtId="0" fontId="15" fillId="3" borderId="21" xfId="1" applyFont="1" applyFill="1" applyBorder="1" applyAlignment="1">
      <alignment horizontal="center" vertical="center" wrapText="1"/>
    </xf>
    <xf numFmtId="0" fontId="7" fillId="3" borderId="19" xfId="1" applyFont="1" applyFill="1" applyBorder="1" applyAlignment="1">
      <alignment horizontal="center" vertical="center" wrapText="1"/>
    </xf>
    <xf numFmtId="0" fontId="7" fillId="3" borderId="8" xfId="1" applyFont="1" applyFill="1" applyBorder="1" applyAlignment="1">
      <alignment horizontal="center" vertical="center" wrapText="1"/>
    </xf>
    <xf numFmtId="0" fontId="7" fillId="3" borderId="20" xfId="1" applyFont="1" applyFill="1" applyBorder="1" applyAlignment="1">
      <alignment horizontal="center" vertical="center" wrapText="1"/>
    </xf>
    <xf numFmtId="0" fontId="7" fillId="3" borderId="21" xfId="1" applyFont="1" applyFill="1" applyBorder="1" applyAlignment="1">
      <alignment horizontal="center" vertical="center" wrapText="1"/>
    </xf>
    <xf numFmtId="0" fontId="4" fillId="6" borderId="0" xfId="4" applyFont="1" applyFill="1" applyAlignment="1">
      <alignment horizontal="center" vertical="center"/>
    </xf>
    <xf numFmtId="0" fontId="7" fillId="3" borderId="34" xfId="1" applyFont="1" applyFill="1" applyBorder="1" applyAlignment="1">
      <alignment horizontal="center" vertical="center" wrapText="1"/>
    </xf>
    <xf numFmtId="0" fontId="4" fillId="3" borderId="7" xfId="1" applyFont="1" applyFill="1" applyBorder="1" applyAlignment="1">
      <alignment horizontal="center" vertical="center" wrapText="1" readingOrder="2"/>
    </xf>
    <xf numFmtId="0" fontId="4" fillId="3" borderId="19" xfId="1" applyFont="1" applyFill="1" applyBorder="1" applyAlignment="1">
      <alignment horizontal="center" vertical="center" wrapText="1" readingOrder="2"/>
    </xf>
    <xf numFmtId="1" fontId="5" fillId="3" borderId="9" xfId="1" applyNumberFormat="1" applyFont="1" applyFill="1" applyBorder="1" applyAlignment="1">
      <alignment horizontal="center" vertical="center" wrapText="1" readingOrder="1"/>
    </xf>
    <xf numFmtId="1" fontId="5" fillId="3" borderId="21" xfId="1" applyNumberFormat="1" applyFont="1" applyFill="1" applyBorder="1" applyAlignment="1">
      <alignment horizontal="center" vertical="center" wrapText="1" readingOrder="1"/>
    </xf>
    <xf numFmtId="0" fontId="14" fillId="3" borderId="48" xfId="1" applyFont="1" applyFill="1" applyBorder="1" applyAlignment="1">
      <alignment horizontal="center" vertical="center"/>
    </xf>
    <xf numFmtId="0" fontId="14" fillId="3" borderId="28" xfId="1" applyFont="1" applyFill="1" applyBorder="1" applyAlignment="1">
      <alignment horizontal="center" vertical="center"/>
    </xf>
    <xf numFmtId="0" fontId="14" fillId="3" borderId="49" xfId="1" applyFont="1" applyFill="1" applyBorder="1" applyAlignment="1">
      <alignment horizontal="center" vertical="center"/>
    </xf>
    <xf numFmtId="0" fontId="4" fillId="3" borderId="10" xfId="1" applyFont="1" applyFill="1" applyBorder="1" applyAlignment="1">
      <alignment horizontal="center" vertical="center" wrapText="1" readingOrder="2"/>
    </xf>
    <xf numFmtId="1" fontId="5" fillId="3" borderId="12" xfId="1" applyNumberFormat="1" applyFont="1" applyFill="1" applyBorder="1" applyAlignment="1">
      <alignment horizontal="center" vertical="center" wrapText="1" readingOrder="1"/>
    </xf>
    <xf numFmtId="0" fontId="13" fillId="6" borderId="0" xfId="2" applyFont="1" applyFill="1" applyAlignment="1">
      <alignment horizontal="center"/>
    </xf>
    <xf numFmtId="0" fontId="14" fillId="6" borderId="11" xfId="1" applyFont="1" applyFill="1" applyBorder="1" applyAlignment="1">
      <alignment horizontal="center" vertical="center" readingOrder="1"/>
    </xf>
    <xf numFmtId="0" fontId="14" fillId="6" borderId="12" xfId="1" applyFont="1" applyFill="1" applyBorder="1" applyAlignment="1">
      <alignment horizontal="center" vertical="center" readingOrder="1"/>
    </xf>
    <xf numFmtId="1" fontId="14" fillId="3" borderId="9" xfId="1" applyNumberFormat="1" applyFont="1" applyFill="1" applyBorder="1" applyAlignment="1">
      <alignment horizontal="center" vertical="center" wrapText="1" readingOrder="1"/>
    </xf>
    <xf numFmtId="1" fontId="14" fillId="3" borderId="12" xfId="1" applyNumberFormat="1" applyFont="1" applyFill="1" applyBorder="1" applyAlignment="1">
      <alignment horizontal="center" vertical="center" wrapText="1" readingOrder="1"/>
    </xf>
    <xf numFmtId="0" fontId="4" fillId="3" borderId="30" xfId="1" applyFont="1" applyFill="1" applyBorder="1" applyAlignment="1">
      <alignment horizontal="center" vertical="center" wrapText="1" readingOrder="1"/>
    </xf>
    <xf numFmtId="0" fontId="4" fillId="3" borderId="8" xfId="1" applyFont="1" applyFill="1" applyBorder="1" applyAlignment="1">
      <alignment horizontal="center" vertical="center" wrapText="1" readingOrder="2"/>
    </xf>
    <xf numFmtId="0" fontId="4" fillId="3" borderId="11" xfId="1" applyFont="1" applyFill="1" applyBorder="1" applyAlignment="1">
      <alignment horizontal="center" vertical="center" wrapText="1" readingOrder="2"/>
    </xf>
    <xf numFmtId="0" fontId="4" fillId="3" borderId="16" xfId="1" applyFont="1" applyFill="1" applyBorder="1" applyAlignment="1">
      <alignment horizontal="center" vertical="center" wrapText="1" readingOrder="2"/>
    </xf>
    <xf numFmtId="0" fontId="14" fillId="3" borderId="30" xfId="1" applyFont="1" applyFill="1" applyBorder="1" applyAlignment="1">
      <alignment horizontal="center" vertical="center" wrapText="1" readingOrder="2"/>
    </xf>
    <xf numFmtId="1" fontId="14" fillId="3" borderId="18" xfId="1" applyNumberFormat="1" applyFont="1" applyFill="1" applyBorder="1" applyAlignment="1">
      <alignment horizontal="center" vertical="center" wrapText="1" readingOrder="1"/>
    </xf>
    <xf numFmtId="0" fontId="12" fillId="6" borderId="0" xfId="3" applyFont="1" applyFill="1" applyAlignment="1">
      <alignment horizontal="center"/>
    </xf>
    <xf numFmtId="0" fontId="4" fillId="6" borderId="0" xfId="5" applyFont="1" applyFill="1" applyAlignment="1">
      <alignment horizontal="center" wrapText="1"/>
    </xf>
    <xf numFmtId="0" fontId="4" fillId="6" borderId="0" xfId="5" applyFont="1" applyFill="1" applyAlignment="1">
      <alignment horizontal="center"/>
    </xf>
    <xf numFmtId="0" fontId="4" fillId="6" borderId="0" xfId="1" applyFont="1" applyFill="1" applyAlignment="1">
      <alignment horizontal="center" vertical="center" readingOrder="2"/>
    </xf>
    <xf numFmtId="0" fontId="14" fillId="6" borderId="9" xfId="1" applyFont="1" applyFill="1" applyBorder="1" applyAlignment="1">
      <alignment horizontal="center" vertical="center" readingOrder="1"/>
    </xf>
    <xf numFmtId="0" fontId="4" fillId="6" borderId="7" xfId="1" applyFont="1" applyFill="1" applyBorder="1" applyAlignment="1">
      <alignment horizontal="center" vertical="center" readingOrder="2"/>
    </xf>
    <xf numFmtId="0" fontId="4" fillId="6" borderId="10" xfId="1" applyFont="1" applyFill="1" applyBorder="1" applyAlignment="1">
      <alignment horizontal="center" vertical="center" readingOrder="2"/>
    </xf>
    <xf numFmtId="0" fontId="1" fillId="3" borderId="18" xfId="1" applyFont="1" applyFill="1" applyBorder="1" applyAlignment="1">
      <alignment horizontal="left" vertical="center" wrapText="1" indent="1" readingOrder="1"/>
    </xf>
    <xf numFmtId="0" fontId="1" fillId="6" borderId="18" xfId="1" applyFont="1" applyFill="1" applyBorder="1" applyAlignment="1">
      <alignment horizontal="left" vertical="center" wrapText="1" indent="1" readingOrder="1"/>
    </xf>
    <xf numFmtId="0" fontId="1" fillId="3" borderId="21" xfId="1" applyFont="1" applyFill="1" applyBorder="1" applyAlignment="1">
      <alignment horizontal="left" vertical="center" wrapText="1" indent="1" readingOrder="1"/>
    </xf>
    <xf numFmtId="0" fontId="1" fillId="6" borderId="9" xfId="1" applyFont="1" applyFill="1" applyBorder="1" applyAlignment="1">
      <alignment horizontal="left" vertical="center" wrapText="1" indent="1" readingOrder="1"/>
    </xf>
    <xf numFmtId="0" fontId="15" fillId="6" borderId="7" xfId="1" applyFont="1" applyFill="1" applyBorder="1" applyAlignment="1">
      <alignment horizontal="right" vertical="center" wrapText="1" indent="1" readingOrder="2"/>
    </xf>
    <xf numFmtId="0" fontId="15" fillId="6" borderId="16" xfId="1" applyFont="1" applyFill="1" applyBorder="1" applyAlignment="1">
      <alignment horizontal="right" vertical="center" wrapText="1" indent="1" readingOrder="2"/>
    </xf>
    <xf numFmtId="0" fontId="15" fillId="3" borderId="16" xfId="1" applyFont="1" applyFill="1" applyBorder="1" applyAlignment="1">
      <alignment horizontal="right" vertical="center" wrapText="1" indent="1" readingOrder="2"/>
    </xf>
    <xf numFmtId="0" fontId="15" fillId="3" borderId="19" xfId="1" applyFont="1" applyFill="1" applyBorder="1" applyAlignment="1">
      <alignment horizontal="right" vertical="center" wrapText="1" indent="1" readingOrder="2"/>
    </xf>
    <xf numFmtId="0" fontId="4" fillId="3" borderId="30" xfId="1" applyFont="1" applyFill="1" applyBorder="1" applyAlignment="1">
      <alignment horizontal="center" vertical="center" wrapText="1"/>
    </xf>
    <xf numFmtId="0" fontId="14" fillId="3" borderId="8" xfId="1" applyFont="1" applyFill="1" applyBorder="1" applyAlignment="1">
      <alignment horizontal="center" vertical="center" wrapText="1" readingOrder="2"/>
    </xf>
    <xf numFmtId="0" fontId="14" fillId="3" borderId="11" xfId="1" applyFont="1" applyFill="1" applyBorder="1" applyAlignment="1">
      <alignment horizontal="center" vertical="center" wrapText="1" readingOrder="2"/>
    </xf>
    <xf numFmtId="0" fontId="4" fillId="3" borderId="20" xfId="1" applyFont="1" applyFill="1" applyBorder="1" applyAlignment="1">
      <alignment horizontal="center" vertical="center" wrapText="1" readingOrder="2"/>
    </xf>
    <xf numFmtId="0" fontId="15" fillId="6" borderId="13" xfId="1" applyFont="1" applyFill="1" applyBorder="1" applyAlignment="1">
      <alignment horizontal="right" vertical="center" wrapText="1" indent="1" readingOrder="2"/>
    </xf>
    <xf numFmtId="0" fontId="1" fillId="6" borderId="15" xfId="1" applyFont="1" applyFill="1" applyBorder="1" applyAlignment="1">
      <alignment horizontal="left" vertical="center" wrapText="1" indent="1" readingOrder="1"/>
    </xf>
    <xf numFmtId="0" fontId="7" fillId="3" borderId="30" xfId="1" applyFont="1" applyFill="1" applyBorder="1" applyAlignment="1">
      <alignment horizontal="center" vertical="center" wrapText="1"/>
    </xf>
    <xf numFmtId="0" fontId="7" fillId="3" borderId="11" xfId="1" applyFont="1" applyFill="1" applyBorder="1" applyAlignment="1">
      <alignment horizontal="center" vertical="center" wrapText="1"/>
    </xf>
    <xf numFmtId="0" fontId="40" fillId="3" borderId="9" xfId="1" applyFont="1" applyFill="1" applyBorder="1" applyAlignment="1">
      <alignment horizontal="center" vertical="center" wrapText="1"/>
    </xf>
    <xf numFmtId="0" fontId="40" fillId="3" borderId="12" xfId="1" applyFont="1" applyFill="1" applyBorder="1" applyAlignment="1">
      <alignment horizontal="center" vertical="center" wrapText="1"/>
    </xf>
    <xf numFmtId="0" fontId="40" fillId="3" borderId="21" xfId="1" applyFont="1" applyFill="1" applyBorder="1" applyAlignment="1">
      <alignment horizontal="center" vertical="center" wrapText="1"/>
    </xf>
    <xf numFmtId="0" fontId="15" fillId="3" borderId="10" xfId="1" applyFont="1" applyFill="1" applyBorder="1" applyAlignment="1">
      <alignment horizontal="right" vertical="center" wrapText="1" indent="1" readingOrder="2"/>
    </xf>
    <xf numFmtId="0" fontId="1" fillId="3" borderId="12" xfId="1" applyFont="1" applyFill="1" applyBorder="1" applyAlignment="1">
      <alignment horizontal="left" vertical="center" wrapText="1" indent="1" readingOrder="1"/>
    </xf>
    <xf numFmtId="0" fontId="4" fillId="6" borderId="13" xfId="1" applyFont="1" applyFill="1" applyBorder="1" applyAlignment="1">
      <alignment horizontal="center" vertical="center" readingOrder="2"/>
    </xf>
    <xf numFmtId="0" fontId="4" fillId="6" borderId="42" xfId="1" applyFont="1" applyFill="1" applyBorder="1" applyAlignment="1">
      <alignment horizontal="center" vertical="center" readingOrder="2"/>
    </xf>
    <xf numFmtId="0" fontId="14" fillId="6" borderId="15" xfId="1" applyFont="1" applyFill="1" applyBorder="1" applyAlignment="1">
      <alignment horizontal="center" vertical="center" readingOrder="1"/>
    </xf>
    <xf numFmtId="0" fontId="14" fillId="6" borderId="40" xfId="1" applyFont="1" applyFill="1" applyBorder="1" applyAlignment="1">
      <alignment horizontal="center" vertical="center" readingOrder="1"/>
    </xf>
    <xf numFmtId="1" fontId="14" fillId="3" borderId="21" xfId="1" applyNumberFormat="1" applyFont="1" applyFill="1" applyBorder="1" applyAlignment="1">
      <alignment horizontal="center" vertical="center" wrapText="1" readingOrder="1"/>
    </xf>
    <xf numFmtId="0" fontId="14" fillId="3" borderId="20" xfId="1" applyFont="1" applyFill="1" applyBorder="1" applyAlignment="1">
      <alignment horizontal="center" vertical="center" wrapText="1" readingOrder="2"/>
    </xf>
    <xf numFmtId="49" fontId="4" fillId="3" borderId="7" xfId="1" applyNumberFormat="1" applyFont="1" applyFill="1" applyBorder="1" applyAlignment="1">
      <alignment horizontal="center" vertical="center" wrapText="1" readingOrder="2"/>
    </xf>
    <xf numFmtId="49" fontId="4" fillId="3" borderId="16" xfId="1" applyNumberFormat="1" applyFont="1" applyFill="1" applyBorder="1" applyAlignment="1">
      <alignment horizontal="center" vertical="center" wrapText="1" readingOrder="2"/>
    </xf>
    <xf numFmtId="49" fontId="4" fillId="3" borderId="19" xfId="1" applyNumberFormat="1" applyFont="1" applyFill="1" applyBorder="1" applyAlignment="1">
      <alignment horizontal="center" vertical="center" wrapText="1" readingOrder="2"/>
    </xf>
    <xf numFmtId="0" fontId="14" fillId="3" borderId="24" xfId="1" applyFont="1" applyFill="1" applyBorder="1" applyAlignment="1">
      <alignment horizontal="center" vertical="center" wrapText="1" readingOrder="2"/>
    </xf>
    <xf numFmtId="0" fontId="14" fillId="3" borderId="34" xfId="1" applyFont="1" applyFill="1" applyBorder="1" applyAlignment="1">
      <alignment horizontal="center" vertical="center" wrapText="1" readingOrder="2"/>
    </xf>
    <xf numFmtId="0" fontId="14" fillId="3" borderId="22" xfId="1" applyFont="1" applyFill="1" applyBorder="1" applyAlignment="1">
      <alignment horizontal="center" vertical="center" wrapText="1" readingOrder="2"/>
    </xf>
    <xf numFmtId="0" fontId="4" fillId="3" borderId="8" xfId="1" applyFont="1" applyFill="1" applyBorder="1" applyAlignment="1">
      <alignment horizontal="center" vertical="center" wrapText="1" readingOrder="1"/>
    </xf>
    <xf numFmtId="0" fontId="4" fillId="3" borderId="20" xfId="1" applyFont="1" applyFill="1" applyBorder="1" applyAlignment="1">
      <alignment horizontal="center" vertical="center" wrapText="1" readingOrder="1"/>
    </xf>
    <xf numFmtId="49" fontId="14" fillId="3" borderId="9" xfId="1" applyNumberFormat="1" applyFont="1" applyFill="1" applyBorder="1" applyAlignment="1">
      <alignment horizontal="center" vertical="center" wrapText="1" readingOrder="1"/>
    </xf>
    <xf numFmtId="49" fontId="14" fillId="3" borderId="18" xfId="1" applyNumberFormat="1" applyFont="1" applyFill="1" applyBorder="1" applyAlignment="1">
      <alignment horizontal="center" vertical="center" wrapText="1" readingOrder="1"/>
    </xf>
    <xf numFmtId="49" fontId="14" fillId="3" borderId="21" xfId="1" applyNumberFormat="1" applyFont="1" applyFill="1" applyBorder="1" applyAlignment="1">
      <alignment horizontal="center" vertical="center" wrapText="1" readingOrder="1"/>
    </xf>
    <xf numFmtId="0" fontId="14" fillId="3" borderId="23" xfId="1" applyFont="1" applyFill="1" applyBorder="1" applyAlignment="1">
      <alignment horizontal="center" vertical="center" wrapText="1" readingOrder="1"/>
    </xf>
    <xf numFmtId="0" fontId="4" fillId="3" borderId="41" xfId="1" applyFont="1" applyFill="1" applyBorder="1" applyAlignment="1">
      <alignment horizontal="center" vertical="center" wrapText="1" readingOrder="1"/>
    </xf>
    <xf numFmtId="0" fontId="14" fillId="3" borderId="30" xfId="1" applyFont="1" applyFill="1" applyBorder="1" applyAlignment="1">
      <alignment horizontal="center" vertical="center" wrapText="1" readingOrder="1"/>
    </xf>
    <xf numFmtId="0" fontId="1" fillId="3" borderId="30" xfId="1" applyFont="1" applyFill="1" applyBorder="1" applyAlignment="1">
      <alignment readingOrder="1"/>
    </xf>
    <xf numFmtId="0" fontId="14" fillId="3" borderId="9" xfId="1" applyFont="1" applyFill="1" applyBorder="1" applyAlignment="1">
      <alignment horizontal="center" vertical="center" wrapText="1"/>
    </xf>
    <xf numFmtId="0" fontId="14" fillId="3" borderId="21" xfId="1" applyFont="1" applyFill="1" applyBorder="1" applyAlignment="1">
      <alignment horizontal="center" vertical="center" wrapText="1"/>
    </xf>
    <xf numFmtId="0" fontId="15" fillId="3" borderId="30" xfId="1" applyFont="1" applyFill="1" applyBorder="1" applyAlignment="1">
      <alignment horizontal="center" vertical="center" wrapText="1" readingOrder="1"/>
    </xf>
    <xf numFmtId="0" fontId="1" fillId="3" borderId="30" xfId="1" applyFont="1" applyFill="1" applyBorder="1" applyAlignment="1"/>
    <xf numFmtId="0" fontId="12" fillId="0" borderId="0" xfId="2" applyFont="1" applyAlignment="1">
      <alignment horizontal="center"/>
    </xf>
    <xf numFmtId="0" fontId="4" fillId="0" borderId="0" xfId="4" applyFont="1" applyAlignment="1">
      <alignment horizontal="center"/>
    </xf>
    <xf numFmtId="1" fontId="5" fillId="3" borderId="18" xfId="1" applyNumberFormat="1" applyFont="1" applyFill="1" applyBorder="1" applyAlignment="1">
      <alignment horizontal="center" vertical="center" wrapText="1" readingOrder="1"/>
    </xf>
    <xf numFmtId="0" fontId="15" fillId="3" borderId="23" xfId="1" applyFont="1" applyFill="1" applyBorder="1" applyAlignment="1">
      <alignment horizontal="center" vertical="center" wrapText="1"/>
    </xf>
    <xf numFmtId="0" fontId="4" fillId="3" borderId="49" xfId="1" applyFont="1" applyFill="1" applyBorder="1" applyAlignment="1">
      <alignment horizontal="center" vertical="center" wrapText="1" readingOrder="2"/>
    </xf>
    <xf numFmtId="0" fontId="4" fillId="3" borderId="42" xfId="1" applyFont="1" applyFill="1" applyBorder="1" applyAlignment="1">
      <alignment horizontal="center" vertical="center" wrapText="1" readingOrder="2"/>
    </xf>
    <xf numFmtId="0" fontId="15" fillId="3" borderId="48" xfId="1" applyFont="1" applyFill="1" applyBorder="1" applyAlignment="1">
      <alignment horizontal="center" vertical="center" wrapText="1"/>
    </xf>
    <xf numFmtId="0" fontId="15" fillId="3" borderId="28" xfId="1" applyFont="1" applyFill="1" applyBorder="1" applyAlignment="1">
      <alignment horizontal="center" vertical="center" wrapText="1"/>
    </xf>
    <xf numFmtId="0" fontId="15" fillId="3" borderId="49" xfId="1" applyFont="1" applyFill="1" applyBorder="1" applyAlignment="1">
      <alignment horizontal="center" vertical="center" wrapText="1"/>
    </xf>
    <xf numFmtId="1" fontId="5" fillId="3" borderId="48" xfId="1" applyNumberFormat="1" applyFont="1" applyFill="1" applyBorder="1" applyAlignment="1">
      <alignment horizontal="center" vertical="center" wrapText="1" readingOrder="1"/>
    </xf>
    <xf numFmtId="1" fontId="5" fillId="3" borderId="40" xfId="1" applyNumberFormat="1" applyFont="1" applyFill="1" applyBorder="1" applyAlignment="1">
      <alignment horizontal="center" vertical="center" wrapText="1" readingOrder="1"/>
    </xf>
    <xf numFmtId="0" fontId="4" fillId="0" borderId="0" xfId="4" applyFont="1" applyAlignment="1">
      <alignment horizontal="center" wrapText="1"/>
    </xf>
    <xf numFmtId="0" fontId="4" fillId="3" borderId="30" xfId="1" applyFont="1" applyFill="1" applyBorder="1" applyAlignment="1">
      <alignment horizontal="center" vertical="center" wrapText="1" readingOrder="2"/>
    </xf>
    <xf numFmtId="0" fontId="4" fillId="3" borderId="41" xfId="1" applyFont="1" applyFill="1" applyBorder="1" applyAlignment="1">
      <alignment horizontal="center" vertical="center" wrapText="1" readingOrder="2"/>
    </xf>
    <xf numFmtId="0" fontId="13" fillId="0" borderId="0" xfId="2" applyFont="1" applyAlignment="1">
      <alignment horizontal="center"/>
    </xf>
    <xf numFmtId="49" fontId="4" fillId="3" borderId="49" xfId="1" applyNumberFormat="1" applyFont="1" applyFill="1" applyBorder="1" applyAlignment="1">
      <alignment horizontal="center" vertical="center" wrapText="1" readingOrder="2"/>
    </xf>
    <xf numFmtId="49" fontId="4" fillId="3" borderId="42" xfId="1" applyNumberFormat="1" applyFont="1" applyFill="1" applyBorder="1" applyAlignment="1">
      <alignment horizontal="center" vertical="center" wrapText="1" readingOrder="2"/>
    </xf>
    <xf numFmtId="49" fontId="14" fillId="3" borderId="48" xfId="1" applyNumberFormat="1" applyFont="1" applyFill="1" applyBorder="1" applyAlignment="1">
      <alignment horizontal="center" vertical="center" wrapText="1" readingOrder="1"/>
    </xf>
    <xf numFmtId="49" fontId="14" fillId="3" borderId="40" xfId="1" applyNumberFormat="1" applyFont="1" applyFill="1" applyBorder="1" applyAlignment="1">
      <alignment horizontal="center" vertical="center" wrapText="1" readingOrder="1"/>
    </xf>
    <xf numFmtId="0" fontId="14" fillId="3" borderId="48" xfId="1" applyFont="1" applyFill="1" applyBorder="1" applyAlignment="1">
      <alignment horizontal="center" vertical="center" wrapText="1" readingOrder="1"/>
    </xf>
    <xf numFmtId="0" fontId="14" fillId="3" borderId="49" xfId="1" applyFont="1" applyFill="1" applyBorder="1" applyAlignment="1">
      <alignment horizontal="center" vertical="center" wrapText="1" readingOrder="1"/>
    </xf>
    <xf numFmtId="0" fontId="4" fillId="3" borderId="48" xfId="1" applyFont="1" applyFill="1" applyBorder="1" applyAlignment="1">
      <alignment horizontal="center" vertical="center" wrapText="1" readingOrder="1"/>
    </xf>
    <xf numFmtId="0" fontId="4" fillId="3" borderId="49" xfId="1" applyFont="1" applyFill="1" applyBorder="1" applyAlignment="1">
      <alignment horizontal="center" vertical="center" wrapText="1" readingOrder="1"/>
    </xf>
    <xf numFmtId="0" fontId="4" fillId="0" borderId="0" xfId="4" applyFont="1" applyAlignment="1">
      <alignment horizontal="center" vertical="center" wrapText="1"/>
    </xf>
    <xf numFmtId="0" fontId="26" fillId="3" borderId="43" xfId="1" applyFont="1" applyFill="1" applyBorder="1" applyAlignment="1">
      <alignment horizontal="center" vertical="center" wrapText="1" readingOrder="2"/>
    </xf>
    <xf numFmtId="0" fontId="26" fillId="3" borderId="43" xfId="1" applyFont="1" applyFill="1" applyBorder="1" applyAlignment="1">
      <alignment horizontal="right" vertical="center" wrapText="1" readingOrder="2"/>
    </xf>
    <xf numFmtId="0" fontId="1" fillId="3" borderId="43" xfId="1" applyFont="1" applyFill="1" applyBorder="1" applyAlignment="1">
      <alignment horizontal="left" vertical="center" wrapText="1" readingOrder="1"/>
    </xf>
    <xf numFmtId="0" fontId="26" fillId="3" borderId="57" xfId="1" applyFont="1" applyFill="1" applyBorder="1" applyAlignment="1">
      <alignment horizontal="right" vertical="center" wrapText="1" readingOrder="2"/>
    </xf>
    <xf numFmtId="0" fontId="26" fillId="3" borderId="58" xfId="1" applyFont="1" applyFill="1" applyBorder="1" applyAlignment="1">
      <alignment horizontal="right" vertical="center" wrapText="1" readingOrder="2"/>
    </xf>
    <xf numFmtId="0" fontId="87" fillId="0" borderId="0" xfId="1" applyFont="1" applyAlignment="1">
      <alignment horizontal="center" vertical="center" wrapText="1" readingOrder="2"/>
    </xf>
    <xf numFmtId="0" fontId="87" fillId="0" borderId="0" xfId="1" applyFont="1" applyAlignment="1">
      <alignment horizontal="center" vertical="center" readingOrder="2"/>
    </xf>
    <xf numFmtId="0" fontId="1" fillId="3" borderId="43" xfId="1" applyFont="1" applyFill="1" applyBorder="1" applyAlignment="1">
      <alignment horizontal="center" vertical="center" wrapText="1" readingOrder="1"/>
    </xf>
    <xf numFmtId="0" fontId="17" fillId="3" borderId="43" xfId="1" applyFont="1" applyFill="1" applyBorder="1" applyAlignment="1">
      <alignment horizontal="center" vertical="center" wrapText="1" readingOrder="1"/>
    </xf>
    <xf numFmtId="0" fontId="1" fillId="3" borderId="57" xfId="1" applyFont="1" applyFill="1" applyBorder="1" applyAlignment="1">
      <alignment horizontal="left" vertical="center" wrapText="1" readingOrder="1"/>
    </xf>
    <xf numFmtId="0" fontId="1" fillId="3" borderId="58" xfId="1" applyFont="1" applyFill="1" applyBorder="1" applyAlignment="1">
      <alignment horizontal="left" vertical="center" wrapText="1" readingOrder="1"/>
    </xf>
    <xf numFmtId="0" fontId="1" fillId="3" borderId="43" xfId="1" applyFont="1" applyFill="1" applyBorder="1" applyAlignment="1">
      <alignment vertical="center" wrapText="1" readingOrder="1"/>
    </xf>
    <xf numFmtId="0" fontId="64" fillId="6" borderId="8" xfId="1" applyFont="1" applyFill="1" applyBorder="1" applyAlignment="1">
      <alignment horizontal="left" vertical="center" wrapText="1" indent="1" readingOrder="1"/>
    </xf>
    <xf numFmtId="0" fontId="64" fillId="3" borderId="17" xfId="1" applyFont="1" applyFill="1" applyBorder="1" applyAlignment="1">
      <alignment horizontal="left" vertical="center" wrapText="1" indent="1" readingOrder="1"/>
    </xf>
    <xf numFmtId="0" fontId="64" fillId="6" borderId="17" xfId="1" applyFont="1" applyFill="1" applyBorder="1" applyAlignment="1">
      <alignment horizontal="left" vertical="center" wrapText="1" indent="1" readingOrder="1"/>
    </xf>
    <xf numFmtId="0" fontId="64" fillId="3" borderId="20" xfId="1" applyFont="1" applyFill="1" applyBorder="1" applyAlignment="1">
      <alignment horizontal="left" vertical="center" wrapText="1" indent="1" readingOrder="1"/>
    </xf>
  </cellXfs>
  <cellStyles count="35">
    <cellStyle name="H1" xfId="2"/>
    <cellStyle name="H1 2" xfId="3"/>
    <cellStyle name="H1 2 2" xfId="27"/>
    <cellStyle name="H2" xfId="4"/>
    <cellStyle name="H2 2" xfId="5"/>
    <cellStyle name="H2 2 2" xfId="28"/>
    <cellStyle name="had" xfId="6"/>
    <cellStyle name="had 2" xfId="26"/>
    <cellStyle name="had0" xfId="7"/>
    <cellStyle name="Had1" xfId="8"/>
    <cellStyle name="Had2" xfId="9"/>
    <cellStyle name="Had3" xfId="10"/>
    <cellStyle name="Hyperlink" xfId="34" builtinId="8"/>
    <cellStyle name="inxa" xfId="11"/>
    <cellStyle name="inxe" xfId="12"/>
    <cellStyle name="Normal" xfId="0" builtinId="0"/>
    <cellStyle name="Normal 2" xfId="1"/>
    <cellStyle name="Normal 2 2" xfId="29"/>
    <cellStyle name="Normal 3" xfId="33"/>
    <cellStyle name="NotA" xfId="13"/>
    <cellStyle name="Note 2" xfId="22"/>
    <cellStyle name="T1" xfId="14"/>
    <cellStyle name="T1 2" xfId="24"/>
    <cellStyle name="T2" xfId="15"/>
    <cellStyle name="T2 2" xfId="30"/>
    <cellStyle name="T2 2 2" xfId="31"/>
    <cellStyle name="T2 3" xfId="23"/>
    <cellStyle name="Total 2" xfId="25"/>
    <cellStyle name="Total1" xfId="16"/>
    <cellStyle name="TXT1" xfId="17"/>
    <cellStyle name="TXT1 2" xfId="32"/>
    <cellStyle name="TXT2" xfId="18"/>
    <cellStyle name="TXT3" xfId="19"/>
    <cellStyle name="TXT4" xfId="20"/>
    <cellStyle name="TXT5" xfId="21"/>
  </cellStyles>
  <dxfs count="2349">
    <dxf>
      <font>
        <b/>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outline="0">
        <left style="medium">
          <color theme="0"/>
        </left>
        <right/>
        <top style="medium">
          <color theme="0"/>
        </top>
        <bottom style="medium">
          <color theme="0"/>
        </bottom>
      </border>
    </dxf>
    <dxf>
      <font>
        <b/>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0"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0"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border outline="0">
        <bottom style="medium">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0"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0"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border outline="0">
        <bottom style="medium">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2"/>
        <color auto="1"/>
        <name val="Arial"/>
        <scheme val="none"/>
      </font>
      <numFmt numFmtId="30" formatCode="@"/>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left style="medium">
          <color auto="1"/>
        </left>
        <right style="medium">
          <color auto="1"/>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relativeIndent="0" justifyLastLine="0" shrinkToFit="0" readingOrder="1"/>
    </dxf>
    <dxf>
      <alignment horizontal="center" vertical="center" textRotation="0" indent="0" justifyLastLine="0" shrinkToFit="0"/>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theme="0"/>
        </patternFill>
      </fill>
      <alignment horizontal="left" vertical="center" textRotation="0" wrapText="1" indent="1"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1" indent="1"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strike val="0"/>
        <outline val="0"/>
        <shadow val="0"/>
        <u val="none"/>
        <vertAlign val="baseline"/>
        <sz val="10"/>
        <color theme="1"/>
        <name val="Arial"/>
        <scheme val="none"/>
      </font>
      <fill>
        <patternFill>
          <fgColor indexed="64"/>
          <bgColor theme="0"/>
        </patternFill>
      </fill>
      <alignment horizontal="right" vertical="center" textRotation="0" wrapText="1" indent="1" justifyLastLine="0" shrinkToFit="0" readingOrder="1"/>
    </dxf>
    <dxf>
      <font>
        <strike val="0"/>
        <outline val="0"/>
        <shadow val="0"/>
        <u val="none"/>
        <vertAlign val="baseline"/>
        <sz val="10"/>
        <color theme="1"/>
        <name val="Arial"/>
        <scheme val="none"/>
      </font>
      <fill>
        <patternFill patternType="none">
          <fgColor indexed="64"/>
          <bgColor theme="0"/>
        </patternFill>
      </fill>
      <alignment horizontal="right" vertical="center" textRotation="0" wrapText="1" indent="1" justifyLastLine="0" shrinkToFit="0" readingOrder="1"/>
      <border diagonalUp="0" diagonalDown="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bottom/>
        <vertical/>
        <horizontal/>
      </border>
    </dxf>
    <dxf>
      <font>
        <b/>
        <i val="0"/>
        <strike val="0"/>
        <condense val="0"/>
        <extend val="0"/>
        <outline val="0"/>
        <shadow val="0"/>
        <u val="none"/>
        <vertAlign val="baseline"/>
        <sz val="10"/>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i val="0"/>
        <strike val="0"/>
        <condense val="0"/>
        <extend val="0"/>
        <outline val="0"/>
        <shadow val="0"/>
        <u val="none"/>
        <vertAlign val="baseline"/>
        <sz val="8"/>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numFmt numFmtId="30" formatCode="@"/>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bottom/>
        <vertical/>
        <horizontal/>
      </border>
    </dxf>
    <dxf>
      <font>
        <b/>
        <i val="0"/>
        <strike val="0"/>
        <condense val="0"/>
        <extend val="0"/>
        <outline val="0"/>
        <shadow val="0"/>
        <u val="none"/>
        <vertAlign val="baseline"/>
        <sz val="10"/>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i val="0"/>
        <strike val="0"/>
        <condense val="0"/>
        <extend val="0"/>
        <outline val="0"/>
        <shadow val="0"/>
        <u val="none"/>
        <vertAlign val="baseline"/>
        <sz val="8"/>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numFmt numFmtId="30" formatCode="@"/>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bottom/>
        <vertical/>
        <horizontal/>
      </border>
    </dxf>
    <dxf>
      <font>
        <b/>
        <i val="0"/>
        <strike val="0"/>
        <condense val="0"/>
        <extend val="0"/>
        <outline val="0"/>
        <shadow val="0"/>
        <u val="none"/>
        <vertAlign val="baseline"/>
        <sz val="10"/>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i val="0"/>
        <strike val="0"/>
        <condense val="0"/>
        <extend val="0"/>
        <outline val="0"/>
        <shadow val="0"/>
        <u val="none"/>
        <vertAlign val="baseline"/>
        <sz val="8"/>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numFmt numFmtId="30" formatCode="@"/>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left style="medium">
          <color auto="1"/>
        </left>
        <right style="medium">
          <color auto="1"/>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left style="medium">
          <color auto="1"/>
        </left>
        <right style="medium">
          <color auto="1"/>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left style="medium">
          <color auto="1"/>
        </left>
        <right style="medium">
          <color auto="1"/>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relativeIndent="0" justifyLastLine="0" shrinkToFit="0" readingOrder="2"/>
      <border diagonalUp="0" diagonalDown="0" outline="0">
        <left/>
        <right style="medium">
          <color theme="0"/>
        </right>
        <top/>
        <bottom/>
      </border>
    </dxf>
    <dxf>
      <font>
        <b/>
        <i val="0"/>
        <strike val="0"/>
        <condense val="0"/>
        <extend val="0"/>
        <outline val="0"/>
        <shadow val="0"/>
        <u val="none"/>
        <vertAlign val="baseline"/>
        <sz val="12"/>
        <color auto="1"/>
        <name val="Arial"/>
        <scheme val="none"/>
      </font>
      <numFmt numFmtId="30" formatCode="@"/>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border outline="0">
        <top style="thin">
          <color indexed="64"/>
        </top>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top style="thin">
          <color indexed="64"/>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bottom style="medium">
          <color theme="0"/>
        </bottom>
      </border>
    </dxf>
    <dxf>
      <alignment horizontal="right" vertical="center" textRotation="0" wrapText="0" indent="1" justifyLastLine="0" shrinkToFit="0"/>
    </dxf>
    <dxf>
      <font>
        <b/>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general" vertical="top" textRotation="0" wrapText="0"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left style="medium">
          <color theme="0"/>
        </left>
        <right style="medium">
          <color theme="0"/>
        </right>
        <top/>
        <bottom/>
      </border>
    </dxf>
    <dxf>
      <font>
        <b/>
        <i val="0"/>
        <strike val="0"/>
        <condense val="0"/>
        <extend val="0"/>
        <outline val="0"/>
        <shadow val="0"/>
        <u val="none"/>
        <vertAlign val="baseline"/>
        <sz val="10"/>
        <color auto="1"/>
        <name val="Arial"/>
        <scheme val="none"/>
      </font>
      <numFmt numFmtId="0" formatCode="General"/>
      <fill>
        <patternFill patternType="solid">
          <fgColor indexed="64"/>
          <bgColor theme="2"/>
        </patternFill>
      </fill>
      <alignment horizontal="center" vertical="center" textRotation="0" wrapText="0" indent="0" justifyLastLine="0" shrinkToFit="0" readingOrder="0"/>
      <border diagonalUp="0" diagonalDown="0" outline="0">
        <left style="medium">
          <color theme="0"/>
        </left>
        <right/>
        <top style="thin">
          <color indexed="64"/>
        </top>
        <bottom/>
      </border>
      <protection locked="1" hidden="0"/>
    </dxf>
    <dxf>
      <font>
        <sz val="10"/>
        <color auto="1"/>
        <name val="Arial"/>
        <scheme val="none"/>
      </font>
      <fill>
        <patternFill patternType="solid">
          <fgColor indexed="64"/>
          <bgColor theme="0"/>
        </patternFill>
      </fill>
      <alignment horizontal="left" vertical="center" textRotation="0" wrapText="0" indent="1" justifyLastLine="0" shrinkToFit="0" readingOrder="0"/>
      <border diagonalUp="0" diagonalDown="0">
        <left style="medium">
          <color theme="0"/>
        </left>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theme="1"/>
        <name val="Arial"/>
        <scheme val="none"/>
      </font>
      <numFmt numFmtId="0" formatCode="General"/>
      <fill>
        <patternFill patternType="solid">
          <fgColor indexed="64"/>
          <bgColor theme="2"/>
        </patternFill>
      </fill>
      <alignment horizontal="right" vertical="center" textRotation="0" wrapText="1" indent="1" justifyLastLine="0" shrinkToFit="0" readingOrder="2"/>
      <border diagonalUp="0" diagonalDown="0" outline="0">
        <left/>
        <right style="medium">
          <color theme="0"/>
        </right>
        <top style="thin">
          <color indexed="64"/>
        </top>
        <bottom/>
      </border>
      <protection locked="1" hidden="0"/>
    </dxf>
    <dxf>
      <font>
        <b/>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1" justifyLastLine="0" shrinkToFit="0" readingOrder="2"/>
      <border diagonalUp="0" diagonalDown="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dxf>
    <dxf>
      <border outline="0">
        <top style="thin">
          <color indexed="64"/>
        </top>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numFmt numFmtId="0" formatCode="General"/>
      <fill>
        <patternFill patternType="solid">
          <fgColor indexed="64"/>
          <bgColor theme="2"/>
        </patternFill>
      </fill>
      <alignment horizontal="center" vertical="center" textRotation="0" wrapText="0" indent="0" justifyLastLine="0" shrinkToFit="0" readingOrder="0"/>
      <border diagonalUp="0" diagonalDown="0" outline="0">
        <left style="medium">
          <color theme="0"/>
        </left>
        <right/>
        <top style="thin">
          <color indexed="64"/>
        </top>
        <bottom/>
      </border>
      <protection locked="1" hidden="0"/>
    </dxf>
    <dxf>
      <font>
        <sz val="10"/>
        <color auto="1"/>
        <name val="Arial"/>
        <scheme val="none"/>
      </font>
      <fill>
        <patternFill patternType="solid">
          <fgColor indexed="64"/>
          <bgColor theme="0"/>
        </patternFill>
      </fill>
      <alignment horizontal="left" vertical="center" textRotation="0" wrapText="0" indent="1" justifyLastLine="0" shrinkToFit="0" readingOrder="0"/>
      <border diagonalUp="0" diagonalDown="0">
        <left style="medium">
          <color theme="0"/>
        </left>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theme="1"/>
        <name val="Arial"/>
        <scheme val="none"/>
      </font>
      <numFmt numFmtId="0" formatCode="General"/>
      <fill>
        <patternFill patternType="solid">
          <fgColor indexed="64"/>
          <bgColor theme="2"/>
        </patternFill>
      </fill>
      <alignment horizontal="right" vertical="center" textRotation="0" wrapText="1" indent="1" justifyLastLine="0" shrinkToFit="0" readingOrder="2"/>
      <border diagonalUp="0" diagonalDown="0" outline="0">
        <left/>
        <right style="medium">
          <color theme="0"/>
        </right>
        <top style="thin">
          <color indexed="64"/>
        </top>
        <bottom/>
      </border>
      <protection locked="1" hidden="0"/>
    </dxf>
    <dxf>
      <font>
        <b/>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1" justifyLastLine="0" shrinkToFit="0" readingOrder="2"/>
      <border diagonalUp="0" diagonalDown="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dxf>
    <dxf>
      <border outline="0">
        <top style="thin">
          <color indexed="64"/>
        </top>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right" vertical="center" textRotation="0" wrapText="0" indent="1" justifyLastLine="0" shrinkToFit="0" readingOrder="1"/>
      <border diagonalUp="0" diagonalDown="0" outline="0"/>
    </dxf>
    <dxf>
      <font>
        <b/>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indent="1"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strike val="0"/>
        <outline val="0"/>
        <shadow val="0"/>
        <u val="none"/>
        <vertAlign val="baseline"/>
        <sz val="10"/>
        <name val="Arial"/>
        <scheme val="none"/>
      </font>
      <fill>
        <patternFill patternType="none">
          <fgColor indexed="64"/>
          <bgColor theme="0"/>
        </patternFill>
      </fill>
      <alignment horizontal="right" vertical="center" textRotation="0" wrapText="0" indent="1" justifyLastLine="0" shrinkToFit="0" readingOrder="1"/>
      <border diagonalUp="0" diagonalDown="0" outline="0">
        <left style="medium">
          <color theme="0"/>
        </left>
        <right style="medium">
          <color theme="0"/>
        </right>
        <top/>
        <bottom/>
      </border>
    </dxf>
    <dxf>
      <font>
        <strike val="0"/>
        <outline val="0"/>
        <shadow val="0"/>
        <u val="none"/>
        <vertAlign val="baseline"/>
        <sz val="10"/>
        <name val="Arial"/>
        <scheme val="none"/>
      </font>
      <fill>
        <patternFill patternType="none">
          <fgColor indexed="64"/>
          <bgColor theme="0"/>
        </patternFill>
      </fill>
      <alignment horizontal="right" vertical="center" textRotation="0" wrapText="0" indent="1"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1"/>
      <border diagonalUp="0" diagonalDown="0" outline="0">
        <left style="medium">
          <color theme="0"/>
        </left>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indexed="8"/>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thin">
          <color indexed="64"/>
        </bottom>
        <vertical/>
        <horizontal/>
      </border>
    </dxf>
    <dxf>
      <font>
        <b/>
        <i val="0"/>
        <strike val="0"/>
        <condense val="0"/>
        <extend val="0"/>
        <outline val="0"/>
        <shadow val="0"/>
        <u val="none"/>
        <vertAlign val="baseline"/>
        <sz val="10"/>
        <color indexed="8"/>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2"/>
      <border diagonalUp="0" diagonalDown="0" outline="0">
        <left/>
        <right style="medium">
          <color theme="0"/>
        </right>
        <top style="thin">
          <color indexed="64"/>
        </top>
        <bottom style="thin">
          <color indexed="64"/>
        </bottom>
      </border>
      <protection locked="1" hidden="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indexed="64"/>
        </top>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1"/>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2"/>
      <border diagonalUp="0" diagonalDown="0" outline="0">
        <left/>
        <right style="medium">
          <color theme="0"/>
        </right>
        <top style="thin">
          <color indexed="64"/>
        </top>
        <bottom/>
      </border>
      <protection locked="1" hidden="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relativeIndent="0" justifyLastLine="0" shrinkToFit="0" readingOrder="0"/>
      <border diagonalUp="0" diagonalDown="0" outline="0">
        <left style="medium">
          <color theme="0"/>
        </left>
        <right style="medium">
          <color theme="0"/>
        </right>
        <top/>
        <bottom/>
      </border>
    </dxf>
    <dxf>
      <border outline="0">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1"/>
      <border diagonalUp="0" diagonalDown="0" outline="0">
        <left style="medium">
          <color theme="0"/>
        </left>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thin">
          <color indexed="64"/>
        </bottom>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2"/>
      <border diagonalUp="0" diagonalDown="0" outline="0">
        <left/>
        <right style="medium">
          <color theme="0"/>
        </right>
        <top style="thin">
          <color indexed="64"/>
        </top>
        <bottom style="thin">
          <color indexed="64"/>
        </bottom>
      </border>
      <protection locked="1" hidden="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border>
        <top style="thin">
          <color auto="1"/>
        </top>
        <vertical/>
        <horizontal/>
      </border>
    </dxf>
    <dxf>
      <border diagonalUp="0" diagonalDown="0">
        <left style="medium">
          <color theme="0"/>
        </left>
        <right style="medium">
          <color theme="0"/>
        </right>
        <top/>
        <bottom/>
        <vertical style="medium">
          <color theme="0"/>
        </vertical>
        <horizontal style="medium">
          <color theme="0"/>
        </horizontal>
      </border>
    </dxf>
    <dxf>
      <border diagonalUp="0" diagonalDown="0">
        <left/>
        <right/>
        <top style="thin">
          <color indexed="64"/>
        </top>
        <bottom style="thin">
          <color indexed="64"/>
        </bottom>
      </border>
    </dxf>
    <dxf>
      <border diagonalUp="0" diagonalDown="0">
        <left style="medium">
          <color theme="0"/>
        </left>
        <right style="medium">
          <color theme="0"/>
        </right>
        <top/>
        <bottom/>
        <vertical style="medium">
          <color theme="0"/>
        </vertical>
        <horizontal style="medium">
          <color theme="0"/>
        </horizontal>
      </border>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1" indent="0" justifyLastLine="0" shrinkToFit="0" readingOrder="1"/>
      <border diagonalUp="0" diagonalDown="0" outlin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right" vertical="center" textRotation="0" wrapText="1" indent="0" justifyLastLine="0" shrinkToFit="0" readingOrder="2"/>
      <border diagonalUp="0" diagonalDown="0" outline="0">
        <left style="medium">
          <color theme="0"/>
        </left>
        <right/>
        <top style="thin">
          <color indexed="64"/>
        </top>
        <bottom style="thin">
          <color indexed="64"/>
        </bottom>
      </border>
      <protection locked="1" hidden="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border outline="0">
        <bottom style="thin">
          <color indexed="64"/>
        </bottom>
      </border>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1" indent="0" justifyLastLine="0" shrinkToFit="0" readingOrder="1"/>
      <border diagonalUp="0" diagonalDown="0" outlin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thin">
          <color auto="1"/>
        </bottom>
        <vertical style="medium">
          <color theme="0"/>
        </vertical>
        <horizontal style="medium">
          <color auto="1"/>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thin">
          <color auto="1"/>
        </bottom>
        <vertical style="medium">
          <color theme="0"/>
        </vertical>
        <horizontal style="medium">
          <color auto="1"/>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thin">
          <color auto="1"/>
        </bottom>
        <vertical style="medium">
          <color theme="0"/>
        </vertical>
        <horizontal style="medium">
          <color auto="1"/>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thin">
          <color auto="1"/>
        </bottom>
        <vertical style="medium">
          <color theme="0"/>
        </vertical>
        <horizontal style="medium">
          <color auto="1"/>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thin">
          <color auto="1"/>
        </bottom>
        <vertical style="medium">
          <color theme="0"/>
        </vertical>
        <horizontal style="medium">
          <color auto="1"/>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thin">
          <color auto="1"/>
        </bottom>
        <vertical style="medium">
          <color theme="0"/>
        </vertical>
        <horizontal style="medium">
          <color auto="1"/>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thin">
          <color auto="1"/>
        </bottom>
        <vertical style="medium">
          <color theme="0"/>
        </vertical>
        <horizontal style="medium">
          <color auto="1"/>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thin">
          <color auto="1"/>
        </bottom>
        <vertical style="medium">
          <color theme="0"/>
        </vertical>
        <horizontal style="medium">
          <color auto="1"/>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thin">
          <color auto="1"/>
        </bottom>
        <vertical style="medium">
          <color theme="0"/>
        </vertical>
        <horizontal style="medium">
          <color auto="1"/>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thin">
          <color auto="1"/>
        </bottom>
        <vertical style="medium">
          <color theme="0"/>
        </vertical>
        <horizontal style="medium">
          <color auto="1"/>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thin">
          <color auto="1"/>
        </bottom>
        <vertical style="medium">
          <color theme="0"/>
        </vertical>
        <horizontal style="medium">
          <color auto="1"/>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thin">
          <color auto="1"/>
        </bottom>
        <vertical style="medium">
          <color theme="0"/>
        </vertical>
        <horizontal style="medium">
          <color auto="1"/>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thin">
          <color auto="1"/>
        </bottom>
        <vertical style="medium">
          <color theme="0"/>
        </vertical>
        <horizontal style="medium">
          <color auto="1"/>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right" vertical="center" textRotation="0" wrapText="1" indent="0" justifyLastLine="0" shrinkToFit="0" readingOrder="2"/>
      <border diagonalUp="0" diagonalDown="0" outline="0">
        <left style="medium">
          <color theme="0"/>
        </left>
        <right/>
        <top style="thin">
          <color indexed="64"/>
        </top>
        <bottom style="thin">
          <color indexed="64"/>
        </bottom>
      </border>
      <protection locked="1" hidden="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protection locked="1" hidden="0"/>
    </dxf>
    <dxf>
      <border outline="0">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1" indent="0" justifyLastLine="0" shrinkToFit="0" readingOrder="1"/>
      <border diagonalUp="0" diagonalDown="0" outlin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right" vertical="center" textRotation="0" wrapText="1" indent="0" justifyLastLine="0" shrinkToFit="0" readingOrder="2"/>
      <border diagonalUp="0" diagonalDown="0" outline="0">
        <left style="medium">
          <color theme="0"/>
        </left>
        <right/>
        <top style="thin">
          <color indexed="64"/>
        </top>
        <bottom style="thin">
          <color indexed="64"/>
        </bottom>
      </border>
      <protection locked="1" hidden="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border diagonalUp="0" diagonalDown="0">
        <left/>
        <right/>
        <top style="thin">
          <color indexed="64"/>
        </top>
        <bottom style="thin">
          <color indexed="64"/>
        </bottom>
      </border>
    </dxf>
    <dxf>
      <border diagonalUp="0" diagonalDown="0">
        <left style="medium">
          <color theme="0"/>
        </left>
        <right style="medium">
          <color theme="0"/>
        </right>
        <top/>
        <bottom/>
        <vertical style="medium">
          <color theme="0"/>
        </vertical>
        <horizontal style="medium">
          <color theme="0"/>
        </horizontal>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border outline="0">
        <left style="medium">
          <color theme="0"/>
        </left>
        <right style="medium">
          <color theme="0"/>
        </right>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alignment horizontal="right" vertical="center" textRotation="0" wrapText="0" indent="1" justifyLastLine="0" shrinkToFit="0" readingOrder="0"/>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rder>
    </dxf>
    <dxf>
      <font>
        <b/>
        <i val="0"/>
        <strike val="0"/>
        <condense val="0"/>
        <extend val="0"/>
        <outline val="0"/>
        <shadow val="0"/>
        <u val="none"/>
        <vertAlign val="baseline"/>
        <sz val="10"/>
        <color theme="1"/>
        <name val="Arial"/>
        <scheme val="none"/>
      </font>
      <numFmt numFmtId="165" formatCode="#,##0.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border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165" formatCode="#,##0.0"/>
      <fill>
        <patternFill patternType="none">
          <fgColor indexed="64"/>
          <bgColor indexed="65"/>
        </patternFill>
      </fill>
      <alignment horizontal="right" vertical="center" textRotation="0" wrapText="0" indent="1" justifyLastLine="0" shrinkToFit="0" readingOrder="0"/>
      <border diagonalUp="0" diagonalDown="0" outline="0"/>
      <protection locked="1" hidden="0"/>
    </dxf>
    <dxf>
      <font>
        <b/>
        <i val="0"/>
        <strike val="0"/>
        <condense val="0"/>
        <extend val="0"/>
        <outline val="0"/>
        <shadow val="0"/>
        <u val="none"/>
        <vertAlign val="baseline"/>
        <sz val="12"/>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top style="thin">
          <color auto="1"/>
        </top>
        <vertical/>
        <horizontal/>
      </border>
    </dxf>
    <dxf>
      <font>
        <b/>
        <strike val="0"/>
        <outline val="0"/>
        <shadow val="0"/>
        <u val="none"/>
        <vertAlign val="baseline"/>
        <sz val="10"/>
        <name val="Arial"/>
        <scheme val="none"/>
      </font>
      <fill>
        <patternFill patternType="none">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strike val="0"/>
        <outline val="0"/>
        <shadow val="0"/>
        <u val="none"/>
        <vertAlign val="baseline"/>
        <sz val="10"/>
        <name val="Arial"/>
        <scheme val="none"/>
      </font>
      <fill>
        <patternFill>
          <fgColor indexed="64"/>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strike val="0"/>
        <outline val="0"/>
        <shadow val="0"/>
        <u val="none"/>
        <vertAlign val="baseline"/>
        <sz val="10"/>
        <name val="Arial"/>
        <scheme val="none"/>
      </font>
      <alignment horizontal="right" vertical="center" textRotation="0" wrapText="0" indent="1"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1"/>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relativeIndent="0" justifyLastLine="0" shrinkToFit="0" readingOrder="2"/>
      <border diagonalUp="0" diagonalDown="0" outline="0">
        <left/>
        <right/>
        <top/>
        <bottom style="medium">
          <color theme="0"/>
        </bottom>
      </border>
    </dxf>
    <dxf>
      <border>
        <top style="thin">
          <color auto="1"/>
        </top>
        <vertical/>
        <horizontal/>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relativeIndent="0" justifyLastLine="0" shrinkToFit="0" readingOrder="0"/>
    </dxf>
    <dxf>
      <border outline="0">
        <bottom style="thin">
          <color indexed="64"/>
        </bottom>
      </border>
    </dxf>
    <dxf>
      <border outline="0">
        <bottom style="medium">
          <color theme="0"/>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1"/>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relativeIndent="0" justifyLastLine="0" shrinkToFit="0" readingOrder="2"/>
      <border diagonalUp="0" diagonalDown="0" outline="0">
        <left/>
        <right/>
        <top/>
        <bottom style="medium">
          <color theme="0"/>
        </bottom>
      </border>
    </dxf>
    <dxf>
      <border>
        <top style="thin">
          <color auto="1"/>
        </top>
        <vertical/>
        <horizontal/>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relativeIndent="0" justifyLastLine="0" shrinkToFit="0" readingOrder="0"/>
    </dxf>
    <dxf>
      <border outline="0">
        <bottom style="thin">
          <color indexed="64"/>
        </bottom>
      </border>
    </dxf>
    <dxf>
      <border outline="0">
        <bottom style="medium">
          <color theme="0"/>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1"/>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indexed="64"/>
        </top>
        <vertical/>
        <horizontal/>
      </border>
    </dxf>
    <dxf>
      <font>
        <strike val="0"/>
        <outline val="0"/>
        <shadow val="0"/>
        <u val="none"/>
        <vertAlign val="baseline"/>
        <name val="Arial"/>
        <scheme val="none"/>
      </font>
      <alignment vertical="center"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dxf>
    <dxf>
      <font>
        <b val="0"/>
        <i val="0"/>
        <strike val="0"/>
        <condense val="0"/>
        <extend val="0"/>
        <outline val="0"/>
        <shadow val="0"/>
        <u val="none"/>
        <vertAlign val="baseline"/>
        <sz val="11"/>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1"/>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vertical/>
        <horizontal/>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2"/>
      <border diagonalUp="0" diagonalDown="0" outline="0">
        <left/>
        <right style="medium">
          <color theme="0"/>
        </right>
        <top style="thin">
          <color indexed="64"/>
        </top>
        <bottom/>
      </border>
      <protection locked="1" hidden="0"/>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border outline="0">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dxf>
    <dxf>
      <font>
        <strike val="0"/>
        <outline val="0"/>
        <shadow val="0"/>
        <u val="none"/>
        <vertAlign val="baseline"/>
        <name val="Arial"/>
        <scheme val="none"/>
      </font>
    </dxf>
    <dxf>
      <font>
        <b val="0"/>
        <i val="0"/>
        <strike val="0"/>
        <condense val="0"/>
        <extend val="0"/>
        <outline val="0"/>
        <shadow val="0"/>
        <u val="none"/>
        <vertAlign val="baseline"/>
        <sz val="11"/>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1"/>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2"/>
      <border diagonalUp="0" diagonalDown="0" outline="0">
        <left/>
        <right style="medium">
          <color theme="0"/>
        </right>
        <top style="thin">
          <color indexed="64"/>
        </top>
        <bottom/>
      </border>
      <protection locked="1" hidden="0"/>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border outline="0">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dxf>
    <dxf>
      <font>
        <strike val="0"/>
        <outline val="0"/>
        <shadow val="0"/>
        <u val="none"/>
        <vertAlign val="baseline"/>
        <name val="Arial"/>
        <scheme val="none"/>
      </font>
    </dxf>
    <dxf>
      <font>
        <b val="0"/>
        <i val="0"/>
        <strike val="0"/>
        <condense val="0"/>
        <extend val="0"/>
        <outline val="0"/>
        <shadow val="0"/>
        <u val="none"/>
        <vertAlign val="baseline"/>
        <sz val="11"/>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1"/>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vertical/>
        <horizontal/>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2"/>
      <border diagonalUp="0" diagonalDown="0" outline="0">
        <left/>
        <right style="medium">
          <color theme="0"/>
        </right>
        <top style="thin">
          <color indexed="64"/>
        </top>
        <bottom/>
      </border>
      <protection locked="1" hidden="0"/>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relativeIndent="0" justifyLastLine="0" shrinkToFit="0" readingOrder="1"/>
      <border diagonalUp="0" diagonalDown="0" outline="0">
        <left style="medium">
          <color theme="0"/>
        </left>
        <right style="medium">
          <color theme="0"/>
        </right>
        <top/>
        <bottom/>
      </border>
      <protection locked="1" hidden="0"/>
    </dxf>
    <dxf>
      <border outline="0">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bottom" textRotation="0" wrapText="0" relativeIndent="0" justifyLastLine="0" shrinkToFit="0" readingOrder="1"/>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bottom" textRotation="0" wrapText="0" relativeIndent="0" justifyLastLine="0" shrinkToFit="0" readingOrder="1"/>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strike val="0"/>
        <outline val="0"/>
        <shadow val="0"/>
        <u val="none"/>
        <vertAlign val="baseline"/>
        <sz val="10"/>
        <name val="Arial"/>
        <scheme val="none"/>
      </font>
      <alignment vertical="bottom" textRotation="0" wrapText="0" indent="0" justifyLastLine="0" shrinkToFit="0" readingOrder="0"/>
      <border diagonalUp="0" diagonalDown="0">
        <left style="medium">
          <color theme="0"/>
        </left>
        <right style="medium">
          <color theme="0"/>
        </right>
        <top/>
        <bottom/>
      </border>
    </dxf>
    <dxf>
      <font>
        <strike val="0"/>
        <outline val="0"/>
        <shadow val="0"/>
        <u val="none"/>
        <vertAlign val="baseline"/>
        <sz val="10"/>
        <name val="Arial"/>
        <scheme val="none"/>
      </font>
      <alignment vertical="bottom" textRotation="0" indent="0" justifyLastLine="0" shrinkToFit="0"/>
      <border diagonalUp="0" diagonalDown="0" outline="0"/>
    </dxf>
    <dxf>
      <font>
        <strike val="0"/>
        <outline val="0"/>
        <shadow val="0"/>
        <u val="none"/>
        <vertAlign val="baseline"/>
        <sz val="10"/>
        <name val="Arial"/>
        <scheme val="none"/>
      </font>
      <alignment vertical="bottom" textRotation="0" indent="0" justifyLastLine="0" shrinkToFit="0"/>
      <border diagonalUp="0" diagonalDown="0" outline="0">
        <left style="medium">
          <color theme="0"/>
        </left>
        <right style="medium">
          <color theme="0"/>
        </right>
        <top/>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medium">
          <color theme="0"/>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medium">
          <color theme="0"/>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medium">
          <color theme="0"/>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strike val="0"/>
        <outline val="0"/>
        <shadow val="0"/>
        <u val="none"/>
        <vertAlign val="baseline"/>
        <name val="Arial"/>
        <scheme val="none"/>
      </font>
      <alignment vertical="center" textRotation="0" wrapText="0" indent="0" justifyLastLine="0" shrinkToFit="0"/>
      <border diagonalUp="0" diagonalDown="0" outline="0">
        <left style="medium">
          <color theme="0"/>
        </left>
        <right style="medium">
          <color theme="0"/>
        </right>
        <top/>
        <bottom/>
      </border>
    </dxf>
    <dxf>
      <font>
        <strike val="0"/>
        <outline val="0"/>
        <shadow val="0"/>
        <u val="none"/>
        <vertAlign val="baseline"/>
        <name val="Arial"/>
        <scheme val="none"/>
      </font>
    </dxf>
    <dxf>
      <font>
        <strike val="0"/>
        <outline val="0"/>
        <shadow val="0"/>
        <u val="none"/>
        <vertAlign val="baseline"/>
        <name val="Arial"/>
        <scheme val="none"/>
      </font>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indexed="64"/>
        </top>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left style="medium">
          <color theme="0"/>
        </left>
        <right style="medium">
          <color theme="0"/>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thin">
          <color indexed="64"/>
        </bottom>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strike val="0"/>
        <outline val="0"/>
        <shadow val="0"/>
        <u val="none"/>
        <vertAlign val="baseline"/>
        <sz val="10"/>
        <color theme="1"/>
        <name val="Arial"/>
        <scheme val="none"/>
      </font>
      <alignment vertical="center" textRotation="0" indent="0" justifyLastLine="0" shrinkToFit="0"/>
      <border diagonalUp="0" diagonalDown="0" outline="0">
        <left style="medium">
          <color theme="0"/>
        </left>
        <right style="medium">
          <color theme="0"/>
        </right>
        <top/>
        <bottom/>
      </border>
    </dxf>
    <dxf>
      <border diagonalUp="0" diagonalDown="0">
        <left/>
        <right/>
        <top style="thin">
          <color auto="1"/>
        </top>
        <bottom style="thin">
          <color auto="1"/>
        </bottom>
      </border>
    </dxf>
    <dxf>
      <font>
        <strike val="0"/>
        <outline val="0"/>
        <shadow val="0"/>
        <u val="none"/>
        <vertAlign val="baseline"/>
        <sz val="10"/>
        <color theme="1"/>
        <name val="Arial"/>
        <scheme val="none"/>
      </font>
      <alignment vertical="center" textRotation="0" indent="0" justifyLastLine="0" shrinkToFit="0"/>
      <border diagonalUp="0" diagonalDown="0" outline="0"/>
    </dxf>
    <dxf>
      <font>
        <strike val="0"/>
        <outline val="0"/>
        <shadow val="0"/>
        <u val="none"/>
        <vertAlign val="baseline"/>
        <sz val="10"/>
        <color theme="1"/>
        <name val="Arial"/>
        <scheme val="none"/>
      </font>
      <alignment vertical="center" textRotation="0" indent="0" justifyLastLine="0" shrinkToFit="0"/>
      <border diagonalUp="0" diagonalDown="0" outline="0">
        <left style="medium">
          <color theme="0"/>
        </left>
        <right style="medium">
          <color theme="0"/>
        </right>
        <top/>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1" indent="1" justifyLastLine="0" shrinkToFit="0" readingOrder="1"/>
      <border diagonalUp="0" diagonalDown="0" outline="0">
        <left style="medium">
          <color theme="0"/>
        </left>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thin">
          <color indexed="64"/>
        </bottom>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thin">
          <color indexed="64"/>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right" vertical="center" textRotation="0" wrapText="0" indent="1" justifyLastLine="0" shrinkToFit="0" readingOrder="2"/>
      <border diagonalUp="0" diagonalDown="0" outlin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b/>
        <strike val="0"/>
        <outline val="0"/>
        <shadow val="0"/>
        <u val="none"/>
        <vertAlign val="baseline"/>
        <sz val="11"/>
        <color theme="1"/>
        <name val="Arial"/>
        <scheme val="none"/>
      </font>
      <border diagonalUp="0" diagonalDown="0" outline="0">
        <left style="medium">
          <color theme="0"/>
        </left>
        <right style="medium">
          <color theme="0"/>
        </right>
        <top/>
        <bottom/>
      </border>
    </dxf>
    <dxf>
      <border diagonalUp="0" diagonalDown="0">
        <left/>
        <right/>
        <top style="thin">
          <color auto="1"/>
        </top>
        <bottom style="thin">
          <color auto="1"/>
        </bottom>
      </border>
    </dxf>
    <dxf>
      <font>
        <strike val="0"/>
        <outline val="0"/>
        <shadow val="0"/>
        <u val="none"/>
        <vertAlign val="baseline"/>
        <sz val="11"/>
        <color theme="1"/>
        <name val="Arial"/>
        <scheme val="none"/>
      </font>
    </dxf>
    <dxf>
      <font>
        <strike val="0"/>
        <outline val="0"/>
        <shadow val="0"/>
        <u val="none"/>
        <vertAlign val="baseline"/>
        <sz val="11"/>
        <color theme="1"/>
        <name val="Arial"/>
        <scheme val="none"/>
      </font>
      <border diagonalUp="0" diagonalDown="0" outline="0">
        <left style="medium">
          <color theme="0"/>
        </left>
        <right style="medium">
          <color theme="0"/>
        </right>
        <top/>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1" indent="1" justifyLastLine="0" shrinkToFit="0" readingOrder="1"/>
      <border diagonalUp="0" diagonalDown="0" outline="0">
        <left style="medium">
          <color theme="0"/>
        </left>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indexed="64"/>
        </bottom>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1"/>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style="thin">
          <color indexed="64"/>
        </top>
        <bottom style="thin">
          <color indexed="64"/>
        </bottom>
      </border>
      <protection locked="1" hidden="0"/>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right" vertical="center" textRotation="0" wrapText="1" indent="1" justifyLastLine="0" shrinkToFit="0" readingOrder="2"/>
      <border diagonalUp="0" diagonalDown="0" outlin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strike val="0"/>
        <outline val="0"/>
        <shadow val="0"/>
        <u val="none"/>
        <vertAlign val="baseline"/>
        <name val="Arial"/>
        <scheme val="none"/>
      </font>
      <border diagonalUp="0" diagonalDown="0">
        <left style="medium">
          <color theme="0"/>
        </left>
        <right style="medium">
          <color theme="0"/>
        </right>
        <top/>
        <bottom/>
      </border>
    </dxf>
    <dxf>
      <border diagonalUp="0" diagonalDown="0">
        <left/>
        <right/>
        <top style="thin">
          <color auto="1"/>
        </top>
        <bottom style="thin">
          <color auto="1"/>
        </bottom>
      </border>
    </dxf>
    <dxf>
      <font>
        <strike val="0"/>
        <outline val="0"/>
        <shadow val="0"/>
        <u val="none"/>
        <vertAlign val="baseline"/>
        <name val="Arial"/>
        <scheme val="none"/>
      </font>
    </dxf>
    <dxf>
      <font>
        <strike val="0"/>
        <outline val="0"/>
        <shadow val="0"/>
        <u val="none"/>
        <vertAlign val="baseline"/>
        <name val="Arial"/>
        <scheme val="none"/>
      </font>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top style="medium">
          <color theme="0"/>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thin">
          <color indexed="64"/>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top style="medium">
          <color auto="1"/>
        </top>
        <bottom style="medium">
          <color auto="1"/>
        </bottom>
        <vertical style="medium">
          <color theme="0"/>
        </vertical>
        <horizontal style="medium">
          <color auto="1"/>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auto="1"/>
        </top>
        <bottom style="medium">
          <color auto="1"/>
        </bottom>
        <vertical style="medium">
          <color theme="0"/>
        </vertical>
        <horizontal style="medium">
          <color auto="1"/>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auto="1"/>
        </top>
        <bottom style="medium">
          <color auto="1"/>
        </bottom>
        <vertical style="medium">
          <color theme="0"/>
        </vertical>
        <horizontal style="medium">
          <color auto="1"/>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thin">
          <color indexed="64"/>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auto="1"/>
        </top>
        <bottom style="medium">
          <color auto="1"/>
        </bottom>
        <vertical style="medium">
          <color theme="0"/>
        </vertical>
        <horizontal style="medium">
          <color auto="1"/>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auto="1"/>
        </top>
        <bottom style="medium">
          <color auto="1"/>
        </bottom>
        <vertical style="medium">
          <color theme="0"/>
        </vertical>
        <horizontal style="medium">
          <color auto="1"/>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right style="medium">
          <color theme="0"/>
        </right>
        <top style="medium">
          <color auto="1"/>
        </top>
        <bottom style="medium">
          <color auto="1"/>
        </bottom>
        <vertical style="medium">
          <color theme="0"/>
        </vertical>
        <horizontal style="medium">
          <color auto="1"/>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right style="medium">
          <color theme="0"/>
        </right>
        <top/>
        <bottom style="medium">
          <color theme="0"/>
        </bottom>
      </border>
    </dxf>
    <dxf>
      <border>
        <top style="thin">
          <color auto="1"/>
        </top>
        <vertical/>
        <horizontal/>
      </border>
    </dxf>
    <dxf>
      <font>
        <b/>
        <strike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bottom/>
      </border>
    </dxf>
    <dxf>
      <font>
        <strike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bottom/>
      </border>
    </dxf>
    <dxf>
      <font>
        <strike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0" formatCode="General"/>
      <fill>
        <patternFill patternType="solid">
          <fgColor indexed="64"/>
          <bgColor theme="2"/>
        </patternFill>
      </fill>
      <alignment horizontal="center" vertical="center" textRotation="0" wrapText="0" indent="0" justifyLastLine="0" shrinkToFit="0" readingOrder="0"/>
      <border diagonalUp="0" diagonalDown="0">
        <left/>
        <right/>
        <top style="thin">
          <color indexed="64"/>
        </top>
        <bottom style="thin">
          <color indexed="64"/>
        </bottom>
        <vertical style="medium">
          <color theme="0"/>
        </vertical>
        <horizontal/>
      </border>
      <protection locked="1" hidden="0"/>
    </dxf>
    <dxf>
      <font>
        <sz val="10"/>
        <color auto="1"/>
        <name val="Arial"/>
        <scheme val="none"/>
      </font>
      <fill>
        <patternFill patternType="solid">
          <fgColor indexed="64"/>
          <bgColor theme="0"/>
        </patternFill>
      </fill>
      <alignment horizontal="left" vertical="center" textRotation="0" wrapText="0" indent="1" justifyLastLine="0" shrinkToFit="0" readingOrder="0"/>
      <border diagonalUp="0" diagonalDown="0">
        <left style="medium">
          <color theme="0"/>
        </left>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left/>
        <right/>
        <top style="thin">
          <color indexed="64"/>
        </top>
        <bottom style="thin">
          <color indexed="64"/>
        </bottom>
        <vertical style="medium">
          <color theme="0"/>
        </vertical>
        <horizontal/>
      </border>
      <protection locked="1" hidden="0"/>
    </dxf>
    <dxf>
      <font>
        <b/>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left/>
        <right/>
        <top style="thin">
          <color indexed="64"/>
        </top>
        <bottom style="thin">
          <color indexed="64"/>
        </bottom>
        <vertical style="medium">
          <color theme="0"/>
        </vertical>
        <horizontal/>
      </border>
      <protection locked="1" hidden="0"/>
    </dxf>
    <dxf>
      <font>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left/>
        <right/>
        <top style="thin">
          <color indexed="64"/>
        </top>
        <bottom style="thin">
          <color indexed="64"/>
        </bottom>
        <vertical style="medium">
          <color theme="0"/>
        </vertical>
        <horizontal/>
      </border>
      <protection locked="1" hidden="0"/>
    </dxf>
    <dxf>
      <font>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theme="1"/>
        <name val="Arial"/>
        <scheme val="none"/>
      </font>
      <numFmt numFmtId="0" formatCode="General"/>
      <fill>
        <patternFill patternType="solid">
          <fgColor indexed="64"/>
          <bgColor theme="2"/>
        </patternFill>
      </fill>
      <alignment horizontal="right" vertical="center" textRotation="0" wrapText="1" indent="1" justifyLastLine="0" shrinkToFit="0" readingOrder="2"/>
      <border diagonalUp="0" diagonalDown="0">
        <left/>
        <right/>
        <top style="thin">
          <color indexed="64"/>
        </top>
        <bottom style="thin">
          <color indexed="64"/>
        </bottom>
        <vertical style="medium">
          <color theme="0"/>
        </vertical>
        <horizontal/>
      </border>
      <protection locked="1" hidden="0"/>
    </dxf>
    <dxf>
      <font>
        <b/>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1" justifyLastLine="0" shrinkToFit="0" readingOrder="2"/>
      <border diagonalUp="0" diagonalDown="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numFmt numFmtId="0" formatCode="General"/>
      <fill>
        <patternFill patternType="solid">
          <fgColor indexed="64"/>
          <bgColor theme="2"/>
        </patternFill>
      </fill>
      <alignment horizontal="center" vertical="center" textRotation="0" wrapText="0" indent="0" justifyLastLine="0" shrinkToFit="0" readingOrder="0"/>
      <border diagonalUp="0" diagonalDown="0">
        <left/>
        <right/>
        <top style="thin">
          <color indexed="64"/>
        </top>
        <bottom style="thin">
          <color indexed="64"/>
        </bottom>
        <vertical style="medium">
          <color theme="0"/>
        </vertical>
        <horizontal/>
      </border>
      <protection locked="1" hidden="0"/>
    </dxf>
    <dxf>
      <font>
        <sz val="10"/>
        <color auto="1"/>
        <name val="Arial"/>
        <scheme val="none"/>
      </font>
      <fill>
        <patternFill patternType="solid">
          <fgColor indexed="64"/>
          <bgColor theme="0"/>
        </patternFill>
      </fill>
      <alignment horizontal="left" vertical="center" textRotation="0" wrapText="0" indent="1" justifyLastLine="0" shrinkToFit="0" readingOrder="0"/>
      <border diagonalUp="0" diagonalDown="0">
        <left style="medium">
          <color theme="0"/>
        </left>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left/>
        <right/>
        <top style="thin">
          <color indexed="64"/>
        </top>
        <bottom style="thin">
          <color indexed="64"/>
        </bottom>
        <vertical style="medium">
          <color theme="0"/>
        </vertical>
        <horizontal/>
      </border>
      <protection locked="1" hidden="0"/>
    </dxf>
    <dxf>
      <font>
        <b/>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left/>
        <right/>
        <top style="thin">
          <color indexed="64"/>
        </top>
        <bottom style="thin">
          <color indexed="64"/>
        </bottom>
        <vertical style="medium">
          <color theme="0"/>
        </vertical>
        <horizontal/>
      </border>
      <protection locked="1" hidden="0"/>
    </dxf>
    <dxf>
      <font>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left/>
        <right/>
        <top style="thin">
          <color indexed="64"/>
        </top>
        <bottom style="thin">
          <color indexed="64"/>
        </bottom>
        <vertical style="medium">
          <color theme="0"/>
        </vertical>
        <horizontal/>
      </border>
      <protection locked="1" hidden="0"/>
    </dxf>
    <dxf>
      <font>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theme="1"/>
        <name val="Arial"/>
        <scheme val="none"/>
      </font>
      <numFmt numFmtId="0" formatCode="General"/>
      <fill>
        <patternFill patternType="solid">
          <fgColor indexed="64"/>
          <bgColor theme="2"/>
        </patternFill>
      </fill>
      <alignment horizontal="right" vertical="center" textRotation="0" wrapText="1" indent="1" justifyLastLine="0" shrinkToFit="0" readingOrder="2"/>
      <border diagonalUp="0" diagonalDown="0">
        <left/>
        <right/>
        <top style="thin">
          <color indexed="64"/>
        </top>
        <bottom style="thin">
          <color indexed="64"/>
        </bottom>
        <vertical style="medium">
          <color theme="0"/>
        </vertical>
        <horizontal/>
      </border>
      <protection locked="1" hidden="0"/>
    </dxf>
    <dxf>
      <font>
        <b/>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1" justifyLastLine="0" shrinkToFit="0" readingOrder="2"/>
      <border diagonalUp="0" diagonalDown="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theme="1"/>
        <name val="Arial"/>
        <scheme val="none"/>
      </font>
      <fill>
        <patternFill patternType="solid">
          <fgColor indexed="64"/>
          <bgColor theme="0"/>
        </patternFill>
      </fill>
      <alignment horizontal="left" vertical="center" textRotation="0" wrapText="0" indent="1" justifyLastLine="0" shrinkToFit="0" readingOrder="0"/>
      <border diagonalUp="0" diagonalDown="0">
        <left style="medium">
          <color theme="0"/>
        </left>
        <right/>
        <top style="medium">
          <color theme="0"/>
        </top>
        <bottom style="medium">
          <color theme="0"/>
        </bottom>
        <vertical style="medium">
          <color theme="0"/>
        </vertical>
        <horizontal style="medium">
          <color theme="0"/>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style="medium">
          <color theme="0"/>
        </vertical>
        <horizontal style="medium">
          <color theme="0"/>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style="medium">
          <color theme="0"/>
        </vertical>
        <horizontal style="medium">
          <color theme="0"/>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style="medium">
          <color theme="0"/>
        </vertical>
        <horizontal style="medium">
          <color theme="0"/>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style="medium">
          <color theme="0"/>
        </vertical>
        <horizontal style="medium">
          <color theme="0"/>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style="medium">
          <color theme="0"/>
        </vertical>
        <horizontal style="medium">
          <color theme="0"/>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style="medium">
          <color theme="0"/>
        </vertical>
        <horizontal style="medium">
          <color theme="0"/>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style="medium">
          <color theme="0"/>
        </vertical>
        <horizontal style="medium">
          <color theme="0"/>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style="medium">
          <color theme="0"/>
        </vertical>
        <horizontal style="medium">
          <color theme="0"/>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style="medium">
          <color theme="0"/>
        </vertical>
        <horizontal style="medium">
          <color theme="0"/>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style="medium">
          <color theme="0"/>
        </vertical>
        <horizontal style="medium">
          <color theme="0"/>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style="medium">
          <color theme="0"/>
        </vertical>
        <horizontal style="medium">
          <color theme="0"/>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style="medium">
          <color theme="0"/>
        </vertical>
        <horizontal style="medium">
          <color theme="0"/>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0" indent="1" justifyLastLine="0" shrinkToFit="0" readingOrder="2"/>
      <border diagonalUp="0" diagonalDown="0">
        <left/>
        <right style="medium">
          <color theme="0"/>
        </right>
        <top style="medium">
          <color theme="0"/>
        </top>
        <bottom style="medium">
          <color theme="0"/>
        </bottom>
        <vertical style="medium">
          <color theme="0"/>
        </vertical>
        <horizontal style="medium">
          <color theme="0"/>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top style="medium">
          <color theme="0"/>
        </top>
      </border>
    </dxf>
    <dxf>
      <border diagonalUp="0" diagonalDown="0">
        <left style="medium">
          <color theme="0"/>
        </left>
        <right/>
        <top style="thin">
          <color indexed="64"/>
        </top>
        <bottom style="thin">
          <color indexed="64"/>
        </bottom>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left style="medium">
          <color theme="0"/>
        </left>
        <right style="medium">
          <color theme="0"/>
        </right>
        <top/>
        <bottom/>
        <vertical style="medium">
          <color theme="0"/>
        </vertical>
        <horizontal style="medium">
          <color theme="0"/>
        </horizontal>
      </border>
    </dxf>
    <dxf>
      <font>
        <b val="0"/>
        <i val="0"/>
        <strike val="0"/>
        <condense val="0"/>
        <extend val="0"/>
        <outline val="0"/>
        <shadow val="0"/>
        <u val="none"/>
        <vertAlign val="baseline"/>
        <sz val="10"/>
        <color theme="1"/>
        <name val="Arial"/>
        <scheme val="none"/>
      </font>
      <alignment horizontal="left" vertical="center" textRotation="0" wrapText="0" indent="1" justifyLastLine="0" shrinkToFit="0" readingOrder="0"/>
      <border diagonalUp="0" diagonalDown="0" outline="0">
        <left style="medium">
          <color theme="0"/>
        </left>
        <right style="thin">
          <color indexed="64"/>
        </right>
        <top style="medium">
          <color theme="0"/>
        </top>
        <bottom/>
      </border>
    </dxf>
    <dxf>
      <font>
        <b/>
        <i val="0"/>
        <strike val="0"/>
        <condense val="0"/>
        <extend val="0"/>
        <outline val="0"/>
        <shadow val="0"/>
        <u val="none"/>
        <vertAlign val="baseline"/>
        <sz val="10"/>
        <color theme="1"/>
        <name val="Arial"/>
        <scheme val="none"/>
      </font>
      <alignment horizontal="left" vertical="center" textRotation="0" wrapText="0" indent="1" justifyLastLine="0" shrinkToFit="0" readingOrder="0"/>
      <border diagonalUp="0" diagonalDown="0">
        <left style="medium">
          <color theme="0"/>
        </left>
        <right/>
        <top style="medium">
          <color theme="0"/>
        </top>
        <bottom style="medium">
          <color theme="0"/>
        </bottom>
      </border>
    </dxf>
    <dxf>
      <font>
        <b/>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i val="0"/>
        <strike val="0"/>
        <condense val="0"/>
        <extend val="0"/>
        <outline val="0"/>
        <shadow val="0"/>
        <u val="none"/>
        <vertAlign val="baseline"/>
        <sz val="12"/>
        <color theme="1"/>
        <name val="Arial"/>
        <scheme val="none"/>
      </font>
      <alignment horizontal="right" vertical="center" textRotation="0" wrapText="0" indent="1" justifyLastLine="0" shrinkToFit="0" readingOrder="2"/>
      <border diagonalUp="0" diagonalDown="0" outline="0">
        <left/>
        <right style="medium">
          <color theme="0"/>
        </right>
        <top style="medium">
          <color theme="0"/>
        </top>
        <bottom/>
      </border>
    </dxf>
    <dxf>
      <font>
        <b/>
        <i val="0"/>
        <strike val="0"/>
        <condense val="0"/>
        <extend val="0"/>
        <outline val="0"/>
        <shadow val="0"/>
        <u val="none"/>
        <vertAlign val="baseline"/>
        <sz val="12"/>
        <color theme="1"/>
        <name val="Arial"/>
        <scheme val="none"/>
      </font>
      <alignment horizontal="right" vertical="center" textRotation="0" wrapText="0" indent="1" justifyLastLine="0" shrinkToFit="0" readingOrder="2"/>
      <border diagonalUp="0" diagonalDown="0">
        <left/>
        <right style="medium">
          <color theme="0"/>
        </right>
        <top style="medium">
          <color theme="0"/>
        </top>
        <bottom style="medium">
          <color theme="0"/>
        </bottom>
      </border>
    </dxf>
    <dxf>
      <border>
        <top style="medium">
          <color theme="0"/>
        </top>
        <vertical/>
        <horizontal/>
      </border>
    </dxf>
    <dxf>
      <border diagonalUp="0" diagonalDown="0">
        <left/>
        <right/>
        <top style="thin">
          <color indexed="64"/>
        </top>
        <bottom style="thin">
          <color indexed="64"/>
        </bottom>
      </border>
    </dxf>
    <dxf>
      <alignment vertical="center" textRotation="0" wrapText="0" indent="0" justifyLastLine="0" shrinkToFit="0"/>
    </dxf>
    <dxf>
      <border outline="0">
        <bottom style="medium">
          <color theme="0"/>
        </bottom>
      </border>
    </dxf>
    <dxf>
      <alignment vertical="center" textRotation="0" wrapText="0" indent="0" justifyLastLine="0" shrinkToFit="0" readingOrder="0"/>
      <border diagonalUp="0" diagonalDown="0">
        <left style="medium">
          <color theme="0"/>
        </left>
        <right style="medium">
          <color theme="0"/>
        </right>
        <top/>
        <bottom/>
      </border>
    </dxf>
    <dxf>
      <border>
        <top style="thin">
          <color auto="1"/>
        </top>
      </border>
    </dxf>
    <dxf>
      <border>
        <top style="thin">
          <color auto="1"/>
        </top>
      </border>
    </dxf>
    <dxf>
      <fill>
        <patternFill>
          <bgColor theme="2"/>
        </patternFill>
      </fill>
    </dxf>
    <dxf>
      <border>
        <right/>
        <top/>
        <bottom/>
      </border>
    </dxf>
    <dxf>
      <font>
        <b/>
        <color theme="1"/>
      </font>
    </dxf>
    <dxf>
      <font>
        <b/>
        <color theme="1"/>
      </font>
      <border>
        <top style="thin">
          <color auto="1"/>
        </top>
      </border>
    </dxf>
    <dxf>
      <border>
        <top style="thin">
          <color auto="1"/>
        </top>
      </border>
    </dxf>
    <dxf>
      <font>
        <b/>
        <color theme="1"/>
      </font>
      <border>
        <top style="thin">
          <color theme="1"/>
        </top>
        <bottom style="thin">
          <color theme="1"/>
        </bottom>
      </border>
    </dxf>
  </dxfs>
  <tableStyles count="1" defaultTableStyle="VITAL" defaultPivotStyle="PivotStyleLight16">
    <tableStyle name="VITAL" pivot="0" count="8">
      <tableStyleElement type="headerRow" dxfId="2348"/>
      <tableStyleElement type="totalRow" dxfId="2347"/>
      <tableStyleElement type="firstColumn" dxfId="2346"/>
      <tableStyleElement type="lastColumn" dxfId="2345"/>
      <tableStyleElement type="firstRowStripe" dxfId="2344"/>
      <tableStyleElement type="secondRowStripe" dxfId="2343"/>
      <tableStyleElement type="firstColumnStripe" dxfId="2342"/>
      <tableStyleElement type="secondColumnStripe" dxfId="2341"/>
    </tableStyle>
  </tableStyles>
  <colors>
    <mruColors>
      <color rgb="FF0000FF"/>
      <color rgb="FF993366"/>
      <color rgb="FFEEE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ustomXml" Target="../customXml/item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onnections" Target="connections.xml"/><Relationship Id="rId135"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tyles" Target="styles.xml"/><Relationship Id="rId136"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alcChain" Target="calcChain.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عقود الزواج وإشهادات الطلاق المسجلة حسب جنسية الزوج</a:t>
            </a:r>
          </a:p>
          <a:p>
            <a:pPr rtl="0">
              <a:defRPr sz="10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REGISTERED MARRIAGES AND DIVORCES BY HUSBAND'S NATIONALITY</a:t>
            </a:r>
          </a:p>
          <a:p>
            <a:pPr rtl="0">
              <a:defRPr sz="10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2006 - 2015</a:t>
            </a:r>
          </a:p>
        </c:rich>
      </c:tx>
      <c:layout>
        <c:manualLayout>
          <c:xMode val="edge"/>
          <c:yMode val="edge"/>
          <c:x val="0.15436476193230173"/>
          <c:y val="1.9666634934881844E-2"/>
        </c:manualLayout>
      </c:layout>
      <c:overlay val="0"/>
      <c:spPr>
        <a:noFill/>
        <a:ln w="25400">
          <a:noFill/>
        </a:ln>
      </c:spPr>
    </c:title>
    <c:autoTitleDeleted val="0"/>
    <c:plotArea>
      <c:layout>
        <c:manualLayout>
          <c:layoutTarget val="inner"/>
          <c:xMode val="edge"/>
          <c:yMode val="edge"/>
          <c:x val="6.6782062278934837E-2"/>
          <c:y val="0.12860167090512617"/>
          <c:w val="0.93321793772105233"/>
          <c:h val="0.79634758090471847"/>
        </c:manualLayout>
      </c:layout>
      <c:lineChart>
        <c:grouping val="standard"/>
        <c:varyColors val="0"/>
        <c:ser>
          <c:idx val="1"/>
          <c:order val="0"/>
          <c:tx>
            <c:strRef>
              <c:f>'1'!$A$23</c:f>
              <c:strCache>
                <c:ptCount val="1"/>
                <c:pt idx="0">
                  <c:v>اشهادات الطلاق غير قطريين
Divorces Non-Qatari </c:v>
                </c:pt>
              </c:strCache>
            </c:strRef>
          </c:tx>
          <c:spPr>
            <a:ln w="25400">
              <a:solidFill>
                <a:srgbClr val="FF00FF"/>
              </a:solidFill>
              <a:prstDash val="solid"/>
            </a:ln>
          </c:spPr>
          <c:marker>
            <c:symbol val="square"/>
            <c:size val="8"/>
            <c:spPr>
              <a:solidFill>
                <a:srgbClr val="FF00FF"/>
              </a:solidFill>
              <a:ln>
                <a:solidFill>
                  <a:srgbClr val="FF00FF"/>
                </a:solidFill>
                <a:prstDash val="solid"/>
              </a:ln>
            </c:spPr>
          </c:marker>
          <c:dLbls>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layout>
                <c:manualLayout>
                  <c:x val="-4.7738059670325794E-2"/>
                  <c:y val="-2.3603914795624827E-2"/>
                </c:manualLayout>
              </c:layout>
              <c:dLblPos val="r"/>
              <c:showLegendKey val="0"/>
              <c:showVal val="1"/>
              <c:showCatName val="0"/>
              <c:showSerName val="0"/>
              <c:showPercent val="0"/>
              <c:showBubbleSize val="0"/>
            </c:dLbl>
            <c:numFmt formatCode="#,##0" sourceLinked="0"/>
            <c:dLblPos val="t"/>
            <c:showLegendKey val="0"/>
            <c:showVal val="1"/>
            <c:showCatName val="0"/>
            <c:showSerName val="0"/>
            <c:showPercent val="0"/>
            <c:showBubbleSize val="0"/>
            <c:showLeaderLines val="0"/>
          </c:dLbls>
          <c:cat>
            <c:numRef>
              <c:f>'1'!$E$24:$E$33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'1'!$A$24:$A$33</c:f>
              <c:numCache>
                <c:formatCode>General</c:formatCode>
                <c:ptCount val="10"/>
                <c:pt idx="0">
                  <c:v>222</c:v>
                </c:pt>
                <c:pt idx="1">
                  <c:v>276</c:v>
                </c:pt>
                <c:pt idx="2">
                  <c:v>251</c:v>
                </c:pt>
                <c:pt idx="3">
                  <c:v>321</c:v>
                </c:pt>
                <c:pt idx="4">
                  <c:v>352</c:v>
                </c:pt>
                <c:pt idx="5">
                  <c:v>354</c:v>
                </c:pt>
                <c:pt idx="6">
                  <c:v>585</c:v>
                </c:pt>
                <c:pt idx="7">
                  <c:v>509</c:v>
                </c:pt>
                <c:pt idx="8">
                  <c:v>512</c:v>
                </c:pt>
                <c:pt idx="9">
                  <c:v>500</c:v>
                </c:pt>
              </c:numCache>
            </c:numRef>
          </c:val>
          <c:smooth val="0"/>
        </c:ser>
        <c:ser>
          <c:idx val="2"/>
          <c:order val="1"/>
          <c:tx>
            <c:strRef>
              <c:f>'1'!$B$23</c:f>
              <c:strCache>
                <c:ptCount val="1"/>
                <c:pt idx="0">
                  <c:v>اشهادات الطلاق قطريون 
Divorces Qatari</c:v>
                </c:pt>
              </c:strCache>
            </c:strRef>
          </c:tx>
          <c:spPr>
            <a:ln w="25400">
              <a:solidFill>
                <a:srgbClr val="339966"/>
              </a:solidFill>
              <a:prstDash val="solid"/>
            </a:ln>
          </c:spPr>
          <c:marker>
            <c:symbol val="triangle"/>
            <c:size val="12"/>
            <c:spPr>
              <a:solidFill>
                <a:srgbClr val="008000"/>
              </a:solidFill>
              <a:ln>
                <a:solidFill>
                  <a:srgbClr val="008000"/>
                </a:solidFill>
                <a:prstDash val="solid"/>
              </a:ln>
            </c:spPr>
          </c:marker>
          <c:dLbls>
            <c:dLbl>
              <c:idx val="0"/>
              <c:layout>
                <c:manualLayout>
                  <c:x val="-5.6042431660546933E-2"/>
                  <c:y val="-9.7869890616004724E-3"/>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numFmt formatCode="#,##0" sourceLinked="0"/>
            <c:dLblPos val="t"/>
            <c:showLegendKey val="0"/>
            <c:showVal val="1"/>
            <c:showCatName val="0"/>
            <c:showSerName val="0"/>
            <c:showPercent val="0"/>
            <c:showBubbleSize val="0"/>
            <c:showLeaderLines val="0"/>
          </c:dLbls>
          <c:cat>
            <c:numRef>
              <c:f>'1'!$E$24:$E$33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'1'!$B$24:$B$33</c:f>
              <c:numCache>
                <c:formatCode>General</c:formatCode>
                <c:ptCount val="10"/>
                <c:pt idx="0">
                  <c:v>604</c:v>
                </c:pt>
                <c:pt idx="1">
                  <c:v>721</c:v>
                </c:pt>
                <c:pt idx="2">
                  <c:v>688</c:v>
                </c:pt>
                <c:pt idx="3">
                  <c:v>787</c:v>
                </c:pt>
                <c:pt idx="4">
                  <c:v>820</c:v>
                </c:pt>
                <c:pt idx="5">
                  <c:v>754</c:v>
                </c:pt>
                <c:pt idx="6">
                  <c:v>835</c:v>
                </c:pt>
                <c:pt idx="7">
                  <c:v>816</c:v>
                </c:pt>
                <c:pt idx="8">
                  <c:v>803</c:v>
                </c:pt>
                <c:pt idx="9">
                  <c:v>807</c:v>
                </c:pt>
              </c:numCache>
            </c:numRef>
          </c:val>
          <c:smooth val="0"/>
        </c:ser>
        <c:ser>
          <c:idx val="3"/>
          <c:order val="2"/>
          <c:tx>
            <c:strRef>
              <c:f>'1'!$C$23</c:f>
              <c:strCache>
                <c:ptCount val="1"/>
                <c:pt idx="0">
                  <c:v>عقود الزواج غير قطريين
Non-Qatari Marriages</c:v>
                </c:pt>
              </c:strCache>
            </c:strRef>
          </c:tx>
          <c:spPr>
            <a:ln w="25400">
              <a:solidFill>
                <a:srgbClr val="0000FF"/>
              </a:solidFill>
              <a:prstDash val="solid"/>
            </a:ln>
          </c:spPr>
          <c:marker>
            <c:symbol val="diamond"/>
            <c:size val="12"/>
            <c:spPr>
              <a:solidFill>
                <a:srgbClr val="0000FF"/>
              </a:solidFill>
              <a:ln>
                <a:solidFill>
                  <a:srgbClr val="0000FF"/>
                </a:solidFill>
                <a:prstDash val="solid"/>
              </a:ln>
            </c:spPr>
          </c:marker>
          <c:dLbls>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numFmt formatCode="#,##0" sourceLinked="0"/>
            <c:dLblPos val="t"/>
            <c:showLegendKey val="0"/>
            <c:showVal val="1"/>
            <c:showCatName val="0"/>
            <c:showSerName val="0"/>
            <c:showPercent val="0"/>
            <c:showBubbleSize val="0"/>
            <c:showLeaderLines val="0"/>
          </c:dLbls>
          <c:cat>
            <c:numRef>
              <c:f>'1'!$E$24:$E$33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'1'!$C$24:$C$33</c:f>
              <c:numCache>
                <c:formatCode>General</c:formatCode>
                <c:ptCount val="10"/>
                <c:pt idx="0">
                  <c:v>996</c:v>
                </c:pt>
                <c:pt idx="1">
                  <c:v>1193</c:v>
                </c:pt>
                <c:pt idx="2">
                  <c:v>1281</c:v>
                </c:pt>
                <c:pt idx="3">
                  <c:v>1233</c:v>
                </c:pt>
                <c:pt idx="4">
                  <c:v>1225</c:v>
                </c:pt>
                <c:pt idx="5">
                  <c:v>1395</c:v>
                </c:pt>
                <c:pt idx="6">
                  <c:v>1479</c:v>
                </c:pt>
                <c:pt idx="7">
                  <c:v>1547</c:v>
                </c:pt>
                <c:pt idx="8">
                  <c:v>1598</c:v>
                </c:pt>
                <c:pt idx="9">
                  <c:v>1655</c:v>
                </c:pt>
              </c:numCache>
            </c:numRef>
          </c:val>
          <c:smooth val="0"/>
        </c:ser>
        <c:ser>
          <c:idx val="4"/>
          <c:order val="3"/>
          <c:tx>
            <c:strRef>
              <c:f>'1'!$D$23</c:f>
              <c:strCache>
                <c:ptCount val="1"/>
                <c:pt idx="0">
                  <c:v>عقود الزواج قطريون 
Marriages Qatari</c:v>
                </c:pt>
              </c:strCache>
            </c:strRef>
          </c:tx>
          <c:spPr>
            <a:ln w="25400">
              <a:solidFill>
                <a:srgbClr val="800080"/>
              </a:solidFill>
              <a:prstDash val="solid"/>
            </a:ln>
          </c:spPr>
          <c:marker>
            <c:symbol val="circle"/>
            <c:size val="12"/>
            <c:spPr>
              <a:solidFill>
                <a:srgbClr val="993366"/>
              </a:solidFill>
              <a:ln>
                <a:solidFill>
                  <a:srgbClr val="993366"/>
                </a:solidFill>
                <a:prstDash val="solid"/>
              </a:ln>
            </c:spPr>
          </c:marker>
          <c:dLbls>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numFmt formatCode="#,##0" sourceLinked="0"/>
            <c:dLblPos val="t"/>
            <c:showLegendKey val="0"/>
            <c:showVal val="1"/>
            <c:showCatName val="0"/>
            <c:showSerName val="0"/>
            <c:showPercent val="0"/>
            <c:showBubbleSize val="0"/>
            <c:showLeaderLines val="0"/>
          </c:dLbls>
          <c:cat>
            <c:numRef>
              <c:f>'1'!$E$24:$E$33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'1'!$D$24:$D$33</c:f>
              <c:numCache>
                <c:formatCode>General</c:formatCode>
                <c:ptCount val="10"/>
                <c:pt idx="0">
                  <c:v>2023</c:v>
                </c:pt>
                <c:pt idx="1">
                  <c:v>2013</c:v>
                </c:pt>
                <c:pt idx="2">
                  <c:v>1954</c:v>
                </c:pt>
                <c:pt idx="3">
                  <c:v>1920</c:v>
                </c:pt>
                <c:pt idx="4">
                  <c:v>1752</c:v>
                </c:pt>
                <c:pt idx="5">
                  <c:v>1898</c:v>
                </c:pt>
                <c:pt idx="6">
                  <c:v>2053</c:v>
                </c:pt>
                <c:pt idx="7">
                  <c:v>2072</c:v>
                </c:pt>
                <c:pt idx="8">
                  <c:v>2076</c:v>
                </c:pt>
                <c:pt idx="9">
                  <c:v>2069</c:v>
                </c:pt>
              </c:numCache>
            </c:numRef>
          </c:val>
          <c:smooth val="0"/>
        </c:ser>
        <c:dLbls>
          <c:showLegendKey val="0"/>
          <c:showVal val="1"/>
          <c:showCatName val="0"/>
          <c:showSerName val="0"/>
          <c:showPercent val="0"/>
          <c:showBubbleSize val="0"/>
        </c:dLbls>
        <c:marker val="1"/>
        <c:smooth val="0"/>
        <c:axId val="169955328"/>
        <c:axId val="169956864"/>
      </c:lineChart>
      <c:catAx>
        <c:axId val="169955328"/>
        <c:scaling>
          <c:orientation val="minMax"/>
        </c:scaling>
        <c:delete val="0"/>
        <c:axPos val="b"/>
        <c:majorGridlines>
          <c:spPr>
            <a:ln w="19050">
              <a:solidFill>
                <a:schemeClr val="bg1">
                  <a:lumMod val="85000"/>
                </a:schemeClr>
              </a:solidFill>
              <a:prstDash val="sysDot"/>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ysClr val="windowText" lastClr="000000"/>
                </a:solidFill>
                <a:latin typeface="Arial"/>
                <a:ea typeface="Arial"/>
                <a:cs typeface="Arial"/>
              </a:defRPr>
            </a:pPr>
            <a:endParaRPr lang="en-US"/>
          </a:p>
        </c:txPr>
        <c:crossAx val="169956864"/>
        <c:crosses val="autoZero"/>
        <c:auto val="1"/>
        <c:lblAlgn val="ctr"/>
        <c:lblOffset val="100"/>
        <c:tickLblSkip val="1"/>
        <c:tickMarkSkip val="1"/>
        <c:noMultiLvlLbl val="0"/>
      </c:catAx>
      <c:valAx>
        <c:axId val="169956864"/>
        <c:scaling>
          <c:orientation val="minMax"/>
        </c:scaling>
        <c:delete val="0"/>
        <c:axPos val="l"/>
        <c:majorGridlines>
          <c:spPr>
            <a:ln w="19050">
              <a:solidFill>
                <a:schemeClr val="bg1">
                  <a:lumMod val="85000"/>
                </a:schemeClr>
              </a:solidFill>
              <a:prstDash val="solid"/>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1050" b="1" i="0" u="none" strike="noStrike" baseline="0">
                    <a:solidFill>
                      <a:srgbClr val="000000"/>
                    </a:solidFill>
                    <a:latin typeface="Arial"/>
                    <a:cs typeface="Arial"/>
                  </a:rPr>
                  <a:t>الأعداد </a:t>
                </a:r>
              </a:p>
              <a:p>
                <a:pPr algn="ctr">
                  <a:defRPr sz="1100" b="0" i="0" u="none" strike="noStrike" baseline="0">
                    <a:solidFill>
                      <a:srgbClr val="000000"/>
                    </a:solidFill>
                    <a:latin typeface="Calibri"/>
                    <a:ea typeface="Calibri"/>
                    <a:cs typeface="Calibri"/>
                  </a:defRPr>
                </a:pPr>
                <a:r>
                  <a:rPr lang="en-US" sz="900" b="1" i="0" u="none" strike="noStrike" baseline="0">
                    <a:solidFill>
                      <a:srgbClr val="000000"/>
                    </a:solidFill>
                    <a:latin typeface="Arial"/>
                    <a:cs typeface="Arial"/>
                  </a:rPr>
                  <a:t>Number</a:t>
                </a:r>
              </a:p>
            </c:rich>
          </c:tx>
          <c:layout>
            <c:manualLayout>
              <c:xMode val="edge"/>
              <c:yMode val="edge"/>
              <c:x val="4.9630393508033124E-3"/>
              <c:y val="4.705297848131691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ysClr val="windowText" lastClr="000000"/>
                </a:solidFill>
                <a:latin typeface="Arial"/>
                <a:ea typeface="Arial"/>
                <a:cs typeface="Arial"/>
              </a:defRPr>
            </a:pPr>
            <a:endParaRPr lang="en-US"/>
          </a:p>
        </c:txPr>
        <c:crossAx val="169955328"/>
        <c:crosses val="autoZero"/>
        <c:crossBetween val="between"/>
      </c:valAx>
      <c:spPr>
        <a:noFill/>
        <a:ln w="25400">
          <a:noFill/>
        </a:ln>
      </c:spPr>
    </c:plotArea>
    <c:legend>
      <c:legendPos val="b"/>
      <c:layout>
        <c:manualLayout>
          <c:xMode val="edge"/>
          <c:yMode val="edge"/>
          <c:x val="8.5013412491125179E-2"/>
          <c:y val="0.13339498365813091"/>
          <c:w val="0.8917893708818837"/>
          <c:h val="6.4770193881205432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a:no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1221" l="0.70000000000000062" r="0.70000000000000062" t="0.75000000000001221" header="0.30000000000000032" footer="0.30000000000000032"/>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جنسية الزوج والشهر</a:t>
            </a:r>
            <a:endParaRPr lang="ar-QA" sz="1400" b="1"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NATIONALITY OF HUSBAND AND MONTH</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2015</a:t>
            </a:r>
          </a:p>
        </c:rich>
      </c:tx>
      <c:layout>
        <c:manualLayout>
          <c:xMode val="edge"/>
          <c:yMode val="edge"/>
          <c:x val="0.30995889888060252"/>
          <c:y val="1.9735545105054642E-2"/>
        </c:manualLayout>
      </c:layout>
      <c:overlay val="0"/>
      <c:spPr>
        <a:noFill/>
        <a:ln w="25400">
          <a:noFill/>
        </a:ln>
      </c:spPr>
    </c:title>
    <c:autoTitleDeleted val="0"/>
    <c:plotArea>
      <c:layout>
        <c:manualLayout>
          <c:layoutTarget val="inner"/>
          <c:xMode val="edge"/>
          <c:yMode val="edge"/>
          <c:x val="7.108582114947018E-2"/>
          <c:y val="0.18485117071209706"/>
          <c:w val="0.91665048069667765"/>
          <c:h val="0.66204923179784392"/>
        </c:manualLayout>
      </c:layout>
      <c:barChart>
        <c:barDir val="col"/>
        <c:grouping val="clustered"/>
        <c:varyColors val="0"/>
        <c:ser>
          <c:idx val="1"/>
          <c:order val="0"/>
          <c:tx>
            <c:strRef>
              <c:f>'23'!$C$26</c:f>
              <c:strCache>
                <c:ptCount val="1"/>
                <c:pt idx="0">
                  <c:v>قطري  Qatari</c:v>
                </c:pt>
              </c:strCache>
            </c:strRef>
          </c:tx>
          <c:spPr>
            <a:solidFill>
              <a:srgbClr val="993366"/>
            </a:solidFill>
            <a:scene3d>
              <a:camera prst="orthographicFront"/>
              <a:lightRig rig="threePt" dir="t"/>
            </a:scene3d>
            <a:sp3d/>
          </c:spPr>
          <c:invertIfNegative val="0"/>
          <c:cat>
            <c:strRef>
              <c:f>'23'!$A$27:$A$38</c:f>
              <c:strCache>
                <c:ptCount val="12"/>
                <c:pt idx="0">
                  <c:v>    يناير    Jan</c:v>
                </c:pt>
                <c:pt idx="1">
                  <c:v>    فبراير   Feb</c:v>
                </c:pt>
                <c:pt idx="2">
                  <c:v>    مارس    Mar</c:v>
                </c:pt>
                <c:pt idx="3">
                  <c:v>    ابريل    Apr</c:v>
                </c:pt>
                <c:pt idx="4">
                  <c:v>    مايو    May</c:v>
                </c:pt>
                <c:pt idx="5">
                  <c:v>    يونيو    Jun</c:v>
                </c:pt>
                <c:pt idx="6">
                  <c:v>    يوليو    Jul</c:v>
                </c:pt>
                <c:pt idx="7">
                  <c:v>   اغسطس   Aug</c:v>
                </c:pt>
                <c:pt idx="8">
                  <c:v>    سبتمبر    Sep</c:v>
                </c:pt>
                <c:pt idx="9">
                  <c:v>     اكتوبر    Oct</c:v>
                </c:pt>
                <c:pt idx="10">
                  <c:v>     نوفمبر    Nov</c:v>
                </c:pt>
                <c:pt idx="11">
                  <c:v>   ديسمبر  Dec</c:v>
                </c:pt>
              </c:strCache>
            </c:strRef>
          </c:cat>
          <c:val>
            <c:numRef>
              <c:f>'23'!$C$27:$C$38</c:f>
              <c:numCache>
                <c:formatCode>General</c:formatCode>
                <c:ptCount val="12"/>
                <c:pt idx="0" formatCode="#,##0">
                  <c:v>66</c:v>
                </c:pt>
                <c:pt idx="1">
                  <c:v>67</c:v>
                </c:pt>
                <c:pt idx="2">
                  <c:v>72</c:v>
                </c:pt>
                <c:pt idx="3">
                  <c:v>74</c:v>
                </c:pt>
                <c:pt idx="4">
                  <c:v>82</c:v>
                </c:pt>
                <c:pt idx="5">
                  <c:v>69</c:v>
                </c:pt>
                <c:pt idx="6">
                  <c:v>32</c:v>
                </c:pt>
                <c:pt idx="7">
                  <c:v>85</c:v>
                </c:pt>
                <c:pt idx="8">
                  <c:v>52</c:v>
                </c:pt>
                <c:pt idx="9">
                  <c:v>76</c:v>
                </c:pt>
                <c:pt idx="10">
                  <c:v>70</c:v>
                </c:pt>
                <c:pt idx="11">
                  <c:v>62</c:v>
                </c:pt>
              </c:numCache>
            </c:numRef>
          </c:val>
        </c:ser>
        <c:ser>
          <c:idx val="0"/>
          <c:order val="1"/>
          <c:tx>
            <c:strRef>
              <c:f>'23'!$B$26</c:f>
              <c:strCache>
                <c:ptCount val="1"/>
                <c:pt idx="0">
                  <c:v>غير قطري Non Qatari</c:v>
                </c:pt>
              </c:strCache>
            </c:strRef>
          </c:tx>
          <c:spPr>
            <a:solidFill>
              <a:schemeClr val="bg1">
                <a:lumMod val="65000"/>
              </a:schemeClr>
            </a:solidFill>
            <a:scene3d>
              <a:camera prst="orthographicFront"/>
              <a:lightRig rig="threePt" dir="t"/>
            </a:scene3d>
            <a:sp3d/>
          </c:spPr>
          <c:invertIfNegative val="0"/>
          <c:cat>
            <c:strRef>
              <c:f>'23'!$A$27:$A$38</c:f>
              <c:strCache>
                <c:ptCount val="12"/>
                <c:pt idx="0">
                  <c:v>    يناير    Jan</c:v>
                </c:pt>
                <c:pt idx="1">
                  <c:v>    فبراير   Feb</c:v>
                </c:pt>
                <c:pt idx="2">
                  <c:v>    مارس    Mar</c:v>
                </c:pt>
                <c:pt idx="3">
                  <c:v>    ابريل    Apr</c:v>
                </c:pt>
                <c:pt idx="4">
                  <c:v>    مايو    May</c:v>
                </c:pt>
                <c:pt idx="5">
                  <c:v>    يونيو    Jun</c:v>
                </c:pt>
                <c:pt idx="6">
                  <c:v>    يوليو    Jul</c:v>
                </c:pt>
                <c:pt idx="7">
                  <c:v>   اغسطس   Aug</c:v>
                </c:pt>
                <c:pt idx="8">
                  <c:v>    سبتمبر    Sep</c:v>
                </c:pt>
                <c:pt idx="9">
                  <c:v>     اكتوبر    Oct</c:v>
                </c:pt>
                <c:pt idx="10">
                  <c:v>     نوفمبر    Nov</c:v>
                </c:pt>
                <c:pt idx="11">
                  <c:v>   ديسمبر  Dec</c:v>
                </c:pt>
              </c:strCache>
            </c:strRef>
          </c:cat>
          <c:val>
            <c:numRef>
              <c:f>'23'!$B$27:$B$38</c:f>
              <c:numCache>
                <c:formatCode>General</c:formatCode>
                <c:ptCount val="12"/>
                <c:pt idx="0" formatCode="#,##0">
                  <c:v>56</c:v>
                </c:pt>
                <c:pt idx="1">
                  <c:v>39</c:v>
                </c:pt>
                <c:pt idx="2">
                  <c:v>33</c:v>
                </c:pt>
                <c:pt idx="3">
                  <c:v>57</c:v>
                </c:pt>
                <c:pt idx="4">
                  <c:v>58</c:v>
                </c:pt>
                <c:pt idx="5">
                  <c:v>39</c:v>
                </c:pt>
                <c:pt idx="6">
                  <c:v>16</c:v>
                </c:pt>
                <c:pt idx="7">
                  <c:v>49</c:v>
                </c:pt>
                <c:pt idx="8">
                  <c:v>24</c:v>
                </c:pt>
                <c:pt idx="9">
                  <c:v>40</c:v>
                </c:pt>
                <c:pt idx="10">
                  <c:v>40</c:v>
                </c:pt>
                <c:pt idx="11">
                  <c:v>49</c:v>
                </c:pt>
              </c:numCache>
            </c:numRef>
          </c:val>
        </c:ser>
        <c:dLbls>
          <c:showLegendKey val="0"/>
          <c:showVal val="0"/>
          <c:showCatName val="0"/>
          <c:showSerName val="0"/>
          <c:showPercent val="0"/>
          <c:showBubbleSize val="0"/>
        </c:dLbls>
        <c:gapWidth val="150"/>
        <c:axId val="201286400"/>
        <c:axId val="201288320"/>
      </c:barChart>
      <c:catAx>
        <c:axId val="201286400"/>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chemeClr val="accent1"/>
                    </a:solidFill>
                    <a:latin typeface="Calibri"/>
                    <a:ea typeface="Calibri"/>
                    <a:cs typeface="Calibri"/>
                  </a:defRPr>
                </a:pPr>
                <a:r>
                  <a:rPr lang="ar-QA" sz="1200" b="1" i="0" u="none" strike="noStrike" baseline="0">
                    <a:solidFill>
                      <a:schemeClr val="accent1"/>
                    </a:solidFill>
                    <a:latin typeface="Arial"/>
                    <a:cs typeface="Arial"/>
                  </a:rPr>
                  <a:t>الشهور</a:t>
                </a:r>
              </a:p>
              <a:p>
                <a:pPr>
                  <a:defRPr sz="1100" b="0" i="0" u="none" strike="noStrike" baseline="0">
                    <a:solidFill>
                      <a:schemeClr val="accent1"/>
                    </a:solidFill>
                    <a:latin typeface="Calibri"/>
                    <a:ea typeface="Calibri"/>
                    <a:cs typeface="Calibri"/>
                  </a:defRPr>
                </a:pPr>
                <a:r>
                  <a:rPr lang="en-US" sz="1200" b="1" i="0" u="none" strike="noStrike" baseline="0">
                    <a:solidFill>
                      <a:schemeClr val="accent1"/>
                    </a:solidFill>
                    <a:latin typeface="Arial"/>
                    <a:cs typeface="Arial"/>
                  </a:rPr>
                  <a:t>Month</a:t>
                </a:r>
              </a:p>
            </c:rich>
          </c:tx>
          <c:layout>
            <c:manualLayout>
              <c:xMode val="edge"/>
              <c:yMode val="edge"/>
              <c:x val="0.47864677005566852"/>
              <c:y val="0.92611923509561311"/>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201288320"/>
        <c:crosses val="autoZero"/>
        <c:auto val="1"/>
        <c:lblAlgn val="ctr"/>
        <c:lblOffset val="100"/>
        <c:tickLblSkip val="1"/>
        <c:tickMarkSkip val="1"/>
        <c:noMultiLvlLbl val="0"/>
      </c:catAx>
      <c:valAx>
        <c:axId val="201288320"/>
        <c:scaling>
          <c:orientation val="minMax"/>
        </c:scaling>
        <c:delete val="0"/>
        <c:axPos val="l"/>
        <c:majorGridlines>
          <c:spPr>
            <a:ln w="19050">
              <a:solidFill>
                <a:schemeClr val="bg1">
                  <a:lumMod val="85000"/>
                </a:schemeClr>
              </a:solidFill>
            </a:ln>
          </c:spPr>
        </c:majorGridlines>
        <c:title>
          <c:tx>
            <c:rich>
              <a:bodyPr rot="0" vert="horz"/>
              <a:lstStyle/>
              <a:p>
                <a:pPr algn="ctr">
                  <a:defRPr sz="1100" b="0" i="0" u="none" strike="noStrike" baseline="0">
                    <a:solidFill>
                      <a:schemeClr val="accent1"/>
                    </a:solidFill>
                    <a:latin typeface="Calibri"/>
                    <a:ea typeface="Calibri"/>
                    <a:cs typeface="Calibri"/>
                  </a:defRPr>
                </a:pPr>
                <a:r>
                  <a:rPr lang="ar-QA" sz="1200" b="1" i="0" u="none" strike="noStrike" baseline="0">
                    <a:solidFill>
                      <a:schemeClr val="accent1"/>
                    </a:solidFill>
                    <a:latin typeface="Calibri"/>
                  </a:rPr>
                  <a:t>الأعداد</a:t>
                </a:r>
              </a:p>
              <a:p>
                <a:pPr algn="ctr">
                  <a:defRPr sz="1100" b="0" i="0" u="none" strike="noStrike" baseline="0">
                    <a:solidFill>
                      <a:schemeClr val="accent1"/>
                    </a:solidFill>
                    <a:latin typeface="Calibri"/>
                    <a:ea typeface="Calibri"/>
                    <a:cs typeface="Calibri"/>
                  </a:defRPr>
                </a:pPr>
                <a:r>
                  <a:rPr lang="en-US" sz="1200" b="1" i="0" u="none" strike="noStrike" baseline="0">
                    <a:solidFill>
                      <a:schemeClr val="accent1"/>
                    </a:solidFill>
                    <a:latin typeface="Calibri"/>
                  </a:rPr>
                  <a:t>Number</a:t>
                </a:r>
              </a:p>
            </c:rich>
          </c:tx>
          <c:layout>
            <c:manualLayout>
              <c:xMode val="edge"/>
              <c:yMode val="edge"/>
              <c:x val="1.7066581446203526E-2"/>
              <c:y val="3.2661399252804292E-2"/>
            </c:manualLayout>
          </c:layout>
          <c:overlay val="0"/>
          <c:spPr>
            <a:noFill/>
            <a:ln w="25400">
              <a:noFill/>
            </a:ln>
          </c:spPr>
        </c:title>
        <c:numFmt formatCode="#,##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201286400"/>
        <c:crosses val="autoZero"/>
        <c:crossBetween val="between"/>
      </c:valAx>
      <c:spPr>
        <a:noFill/>
        <a:ln w="25400">
          <a:noFill/>
        </a:ln>
      </c:spPr>
    </c:plotArea>
    <c:legend>
      <c:legendPos val="r"/>
      <c:layout>
        <c:manualLayout>
          <c:xMode val="edge"/>
          <c:yMode val="edge"/>
          <c:x val="0.69807703574820901"/>
          <c:y val="0.13038574997402433"/>
          <c:w val="0.2824261792529722"/>
          <c:h val="5.6343800398444159E-2"/>
        </c:manualLayout>
      </c:layout>
      <c:overlay val="0"/>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b="1"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إشهادات الطلاق للقطريين حسب نوع الطلاق</a:t>
            </a:r>
          </a:p>
          <a:p>
            <a:pPr>
              <a:defRPr sz="1000" b="1"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QATARIS DIVORCES BY TYPE OF DIVORCE</a:t>
            </a:r>
          </a:p>
          <a:p>
            <a:pPr>
              <a:defRPr sz="1000" b="1"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2015</a:t>
            </a:r>
          </a:p>
        </c:rich>
      </c:tx>
      <c:layout>
        <c:manualLayout>
          <c:xMode val="edge"/>
          <c:yMode val="edge"/>
          <c:x val="0.27299930205353529"/>
          <c:y val="7.6059518295507195E-3"/>
        </c:manualLayout>
      </c:layout>
      <c:overlay val="0"/>
      <c:spPr>
        <a:noFill/>
        <a:ln w="25400">
          <a:noFill/>
        </a:ln>
      </c:spPr>
    </c:title>
    <c:autoTitleDeleted val="0"/>
    <c:plotArea>
      <c:layout>
        <c:manualLayout>
          <c:layoutTarget val="inner"/>
          <c:xMode val="edge"/>
          <c:yMode val="edge"/>
          <c:x val="0.23990722663780203"/>
          <c:y val="0.20837002126558563"/>
          <c:w val="0.48470022915761451"/>
          <c:h val="0.75270053834513373"/>
        </c:manualLayout>
      </c:layout>
      <c:pieChart>
        <c:varyColors val="1"/>
        <c:ser>
          <c:idx val="0"/>
          <c:order val="0"/>
          <c:dPt>
            <c:idx val="0"/>
            <c:bubble3D val="0"/>
            <c:spPr>
              <a:solidFill>
                <a:schemeClr val="accent2">
                  <a:lumMod val="20000"/>
                  <a:lumOff val="80000"/>
                </a:schemeClr>
              </a:solidFill>
              <a:scene3d>
                <a:camera prst="orthographicFront"/>
                <a:lightRig rig="threePt" dir="t"/>
              </a:scene3d>
              <a:sp3d prstMaterial="metal">
                <a:bevelB prst="slope"/>
                <a:contourClr>
                  <a:srgbClr val="000000"/>
                </a:contourClr>
              </a:sp3d>
            </c:spPr>
          </c:dPt>
          <c:dPt>
            <c:idx val="1"/>
            <c:bubble3D val="0"/>
            <c:spPr>
              <a:scene3d>
                <a:camera prst="orthographicFront"/>
                <a:lightRig rig="threePt" dir="t"/>
              </a:scene3d>
              <a:sp3d prstMaterial="softEdge">
                <a:bevelB prst="slope"/>
                <a:contourClr>
                  <a:srgbClr val="000000"/>
                </a:contourClr>
              </a:sp3d>
            </c:spPr>
          </c:dPt>
          <c:dPt>
            <c:idx val="2"/>
            <c:bubble3D val="0"/>
            <c:spPr>
              <a:scene3d>
                <a:camera prst="orthographicFront"/>
                <a:lightRig rig="threePt" dir="t"/>
              </a:scene3d>
              <a:sp3d prstMaterial="metal">
                <a:contourClr>
                  <a:srgbClr val="000000"/>
                </a:contourClr>
              </a:sp3d>
            </c:spPr>
          </c:dPt>
          <c:dPt>
            <c:idx val="3"/>
            <c:bubble3D val="0"/>
            <c:spPr>
              <a:scene3d>
                <a:camera prst="orthographicFront"/>
                <a:lightRig rig="threePt" dir="t"/>
              </a:scene3d>
              <a:sp3d prstMaterial="metal">
                <a:bevelB prst="slope"/>
                <a:contourClr>
                  <a:srgbClr val="000000"/>
                </a:contourClr>
              </a:sp3d>
            </c:spPr>
          </c:dPt>
          <c:dLbls>
            <c:dLbl>
              <c:idx val="1"/>
              <c:numFmt formatCode="0.0%" sourceLinked="0"/>
              <c:spPr/>
              <c:txPr>
                <a:bodyPr/>
                <a:lstStyle/>
                <a:p>
                  <a:pPr>
                    <a:defRPr>
                      <a:solidFill>
                        <a:schemeClr val="bg1"/>
                      </a:solidFill>
                      <a:latin typeface="Arial" pitchFamily="34" charset="0"/>
                      <a:cs typeface="Arial" pitchFamily="34" charset="0"/>
                    </a:defRPr>
                  </a:pPr>
                  <a:endParaRPr lang="en-US"/>
                </a:p>
              </c:txPr>
              <c:showLegendKey val="0"/>
              <c:showVal val="0"/>
              <c:showCatName val="1"/>
              <c:showSerName val="0"/>
              <c:showPercent val="1"/>
              <c:showBubbleSize val="0"/>
            </c:dLbl>
            <c:dLbl>
              <c:idx val="3"/>
              <c:layout>
                <c:manualLayout>
                  <c:x val="-5.5046677217782235E-3"/>
                  <c:y val="-1.2178477690288713E-2"/>
                </c:manualLayout>
              </c:layout>
              <c:showLegendKey val="0"/>
              <c:showVal val="0"/>
              <c:showCatName val="1"/>
              <c:showSerName val="0"/>
              <c:showPercent val="1"/>
              <c:showBubbleSize val="0"/>
            </c:dLbl>
            <c:dLbl>
              <c:idx val="4"/>
              <c:layout>
                <c:manualLayout>
                  <c:x val="1.2372985212054485E-3"/>
                  <c:y val="6.5865755751119345E-2"/>
                </c:manualLayout>
              </c:layout>
              <c:showLegendKey val="0"/>
              <c:showVal val="0"/>
              <c:showCatName val="1"/>
              <c:showSerName val="0"/>
              <c:showPercent val="1"/>
              <c:showBubbleSize val="0"/>
            </c:dLbl>
            <c:numFmt formatCode="0.0%" sourceLinked="0"/>
            <c:txPr>
              <a:bodyPr/>
              <a:lstStyle/>
              <a:p>
                <a:pPr>
                  <a:defRPr>
                    <a:latin typeface="Arial" pitchFamily="34" charset="0"/>
                    <a:cs typeface="Arial" pitchFamily="34" charset="0"/>
                  </a:defRPr>
                </a:pPr>
                <a:endParaRPr lang="en-US"/>
              </a:p>
            </c:txPr>
            <c:showLegendKey val="0"/>
            <c:showVal val="0"/>
            <c:showCatName val="1"/>
            <c:showSerName val="0"/>
            <c:showPercent val="1"/>
            <c:showBubbleSize val="0"/>
            <c:showLeaderLines val="1"/>
          </c:dLbls>
          <c:cat>
            <c:strRef>
              <c:f>'24'!$A$24:$E$24</c:f>
              <c:strCache>
                <c:ptCount val="5"/>
                <c:pt idx="0">
                  <c:v>بينونة صغرى
Minor irrevocable divorce</c:v>
                </c:pt>
                <c:pt idx="1">
                  <c:v>رجعي
Revocable divorce </c:v>
                </c:pt>
                <c:pt idx="2">
                  <c:v>خلع
Divorce against compensation</c:v>
                </c:pt>
                <c:pt idx="3">
                  <c:v>بينونة كبرى
Major  irrevocable divorce</c:v>
                </c:pt>
                <c:pt idx="4">
                  <c:v>غير مبين
Not Stated</c:v>
                </c:pt>
              </c:strCache>
            </c:strRef>
          </c:cat>
          <c:val>
            <c:numRef>
              <c:f>'24'!$A$25:$E$25</c:f>
              <c:numCache>
                <c:formatCode>#,##0</c:formatCode>
                <c:ptCount val="5"/>
                <c:pt idx="0">
                  <c:v>190</c:v>
                </c:pt>
                <c:pt idx="1">
                  <c:v>495</c:v>
                </c:pt>
                <c:pt idx="2">
                  <c:v>85</c:v>
                </c:pt>
                <c:pt idx="3">
                  <c:v>37</c:v>
                </c:pt>
                <c:pt idx="4">
                  <c:v>0</c:v>
                </c:pt>
              </c:numCache>
            </c:numRef>
          </c:val>
        </c:ser>
        <c:dLbls>
          <c:showLegendKey val="0"/>
          <c:showVal val="0"/>
          <c:showCatName val="1"/>
          <c:showSerName val="0"/>
          <c:showPercent val="1"/>
          <c:showBubbleSize val="0"/>
          <c:showLeaderLines val="1"/>
        </c:dLbls>
        <c:firstSliceAng val="88"/>
      </c:pieChart>
      <c:spPr>
        <a:noFill/>
        <a:ln w="25400">
          <a:noFill/>
        </a:ln>
      </c:spPr>
    </c:plotArea>
    <c:plotVisOnly val="1"/>
    <c:dispBlanksAs val="zero"/>
    <c:showDLblsOverMax val="0"/>
  </c:chart>
  <c:spPr>
    <a:ln>
      <a:noFill/>
    </a:ln>
  </c:spPr>
  <c:txPr>
    <a:bodyPr/>
    <a:lstStyle/>
    <a:p>
      <a:pPr>
        <a:defRPr sz="1000" b="1"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b="1"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جنسية الزوج</a:t>
            </a:r>
          </a:p>
          <a:p>
            <a:pPr>
              <a:defRPr sz="1000" b="1"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NATIONALITY OF HUSBAND</a:t>
            </a:r>
          </a:p>
          <a:p>
            <a:pPr>
              <a:defRPr sz="1000" b="1"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2015</a:t>
            </a:r>
          </a:p>
        </c:rich>
      </c:tx>
      <c:layout>
        <c:manualLayout>
          <c:xMode val="edge"/>
          <c:yMode val="edge"/>
          <c:x val="0.31386217328131505"/>
          <c:y val="2.1999355343739941E-2"/>
        </c:manualLayout>
      </c:layout>
      <c:overlay val="0"/>
      <c:spPr>
        <a:noFill/>
        <a:ln w="25400">
          <a:noFill/>
        </a:ln>
      </c:spPr>
    </c:title>
    <c:autoTitleDeleted val="0"/>
    <c:plotArea>
      <c:layout>
        <c:manualLayout>
          <c:layoutTarget val="inner"/>
          <c:xMode val="edge"/>
          <c:yMode val="edge"/>
          <c:x val="0.32391906875450088"/>
          <c:y val="0.18202022992739941"/>
          <c:w val="0.4485620571073004"/>
          <c:h val="0.69339125007034963"/>
        </c:manualLayout>
      </c:layout>
      <c:pieChart>
        <c:varyColors val="1"/>
        <c:ser>
          <c:idx val="0"/>
          <c:order val="0"/>
          <c:spPr>
            <a:scene3d>
              <a:camera prst="orthographicFront"/>
              <a:lightRig rig="threePt" dir="t"/>
            </a:scene3d>
            <a:sp3d>
              <a:contourClr>
                <a:srgbClr val="000000"/>
              </a:contourClr>
            </a:sp3d>
          </c:spPr>
          <c:dPt>
            <c:idx val="0"/>
            <c:bubble3D val="0"/>
            <c:spPr>
              <a:solidFill>
                <a:srgbClr val="993366"/>
              </a:solidFill>
              <a:scene3d>
                <a:camera prst="orthographicFront"/>
                <a:lightRig rig="threePt" dir="t"/>
              </a:scene3d>
              <a:sp3d>
                <a:contourClr>
                  <a:srgbClr val="000000"/>
                </a:contourClr>
              </a:sp3d>
            </c:spPr>
          </c:dPt>
          <c:dPt>
            <c:idx val="1"/>
            <c:bubble3D val="0"/>
            <c:spPr>
              <a:solidFill>
                <a:schemeClr val="accent1">
                  <a:lumMod val="75000"/>
                </a:schemeClr>
              </a:solidFill>
              <a:scene3d>
                <a:camera prst="orthographicFront"/>
                <a:lightRig rig="threePt" dir="t"/>
              </a:scene3d>
              <a:sp3d>
                <a:contourClr>
                  <a:srgbClr val="000000"/>
                </a:contourClr>
              </a:sp3d>
            </c:spPr>
          </c:dPt>
          <c:dLbls>
            <c:dLbl>
              <c:idx val="0"/>
              <c:layout>
                <c:manualLayout>
                  <c:x val="0.12259305579178729"/>
                  <c:y val="0.19016948462837494"/>
                </c:manualLayout>
              </c:layout>
              <c:numFmt formatCode="0.0%" sourceLinked="0"/>
              <c:spPr/>
              <c:txPr>
                <a:bodyPr/>
                <a:lstStyle/>
                <a:p>
                  <a:pPr>
                    <a:defRPr b="1">
                      <a:solidFill>
                        <a:schemeClr val="bg1"/>
                      </a:solidFill>
                      <a:latin typeface="Arial" pitchFamily="34" charset="0"/>
                      <a:cs typeface="Arial" pitchFamily="34" charset="0"/>
                    </a:defRPr>
                  </a:pPr>
                  <a:endParaRPr lang="en-US"/>
                </a:p>
              </c:txPr>
              <c:showLegendKey val="0"/>
              <c:showVal val="0"/>
              <c:showCatName val="1"/>
              <c:showSerName val="0"/>
              <c:showPercent val="1"/>
              <c:showBubbleSize val="0"/>
            </c:dLbl>
            <c:dLbl>
              <c:idx val="5"/>
              <c:layout>
                <c:manualLayout>
                  <c:x val="-2.6942473995070819E-2"/>
                  <c:y val="-5.8550530020956733E-2"/>
                </c:manualLayout>
              </c:layout>
              <c:showLegendKey val="0"/>
              <c:showVal val="0"/>
              <c:showCatName val="1"/>
              <c:showSerName val="0"/>
              <c:showPercent val="1"/>
              <c:showBubbleSize val="0"/>
            </c:dLbl>
            <c:numFmt formatCode="0.0%" sourceLinked="0"/>
            <c:txPr>
              <a:bodyPr/>
              <a:lstStyle/>
              <a:p>
                <a:pPr>
                  <a:defRPr b="1">
                    <a:latin typeface="Arial" pitchFamily="34" charset="0"/>
                    <a:cs typeface="Arial" pitchFamily="34" charset="0"/>
                  </a:defRPr>
                </a:pPr>
                <a:endParaRPr lang="en-US"/>
              </a:p>
            </c:txPr>
            <c:showLegendKey val="0"/>
            <c:showVal val="0"/>
            <c:showCatName val="1"/>
            <c:showSerName val="0"/>
            <c:showPercent val="1"/>
            <c:showBubbleSize val="0"/>
            <c:showLeaderLines val="1"/>
          </c:dLbls>
          <c:cat>
            <c:strRef>
              <c:f>'24'!$A$30:$A$35</c:f>
              <c:strCache>
                <c:ptCount val="6"/>
                <c:pt idx="0">
                  <c:v>قطر
Qatar</c:v>
                </c:pt>
                <c:pt idx="1">
                  <c:v>بقية دول مجلس التعاون
Other G.C.C. Countries</c:v>
                </c:pt>
                <c:pt idx="2">
                  <c:v>باقي الدول العربية
Other Arabs Countries</c:v>
                </c:pt>
                <c:pt idx="3">
                  <c:v>دول أسيوية
Asian Countries</c:v>
                </c:pt>
                <c:pt idx="4">
                  <c:v>دول أوروبية
Europen Countries</c:v>
                </c:pt>
                <c:pt idx="5">
                  <c:v>دول أخرى
Other Countries</c:v>
                </c:pt>
              </c:strCache>
            </c:strRef>
          </c:cat>
          <c:val>
            <c:numRef>
              <c:f>'24'!$B$30:$B$35</c:f>
              <c:numCache>
                <c:formatCode>General</c:formatCode>
                <c:ptCount val="6"/>
                <c:pt idx="0" formatCode="#,##0">
                  <c:v>807</c:v>
                </c:pt>
                <c:pt idx="1">
                  <c:v>73</c:v>
                </c:pt>
                <c:pt idx="2">
                  <c:v>340</c:v>
                </c:pt>
                <c:pt idx="3">
                  <c:v>46</c:v>
                </c:pt>
                <c:pt idx="4">
                  <c:v>15</c:v>
                </c:pt>
                <c:pt idx="5">
                  <c:v>26</c:v>
                </c:pt>
              </c:numCache>
            </c:numRef>
          </c:val>
        </c:ser>
        <c:dLbls>
          <c:showLegendKey val="0"/>
          <c:showVal val="0"/>
          <c:showCatName val="1"/>
          <c:showSerName val="0"/>
          <c:showPercent val="1"/>
          <c:showBubbleSize val="0"/>
          <c:showLeaderLines val="1"/>
        </c:dLbls>
        <c:firstSliceAng val="220"/>
      </c:pieChart>
      <c:spPr>
        <a:noFill/>
        <a:ln w="25400">
          <a:noFill/>
        </a:ln>
      </c:spPr>
    </c:plotArea>
    <c:plotVisOnly val="1"/>
    <c:dispBlanksAs val="zero"/>
    <c:showDLblsOverMax val="0"/>
  </c:chart>
  <c:spPr>
    <a:ln>
      <a:noFill/>
    </a:ln>
  </c:spPr>
  <c:txPr>
    <a:bodyPr/>
    <a:lstStyle/>
    <a:p>
      <a:pPr>
        <a:defRPr sz="1000" b="1"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اشهادات الطلاق حسب جنسية الزوجة والزوج</a:t>
            </a:r>
            <a:endParaRPr lang="ar-QA" sz="1200" b="1"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NATIONALITY OF WIFE AND HUSBAND</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2015</a:t>
            </a:r>
          </a:p>
        </c:rich>
      </c:tx>
      <c:overlay val="0"/>
    </c:title>
    <c:autoTitleDeleted val="0"/>
    <c:plotArea>
      <c:layout>
        <c:manualLayout>
          <c:layoutTarget val="inner"/>
          <c:xMode val="edge"/>
          <c:yMode val="edge"/>
          <c:x val="8.7795636783934164E-2"/>
          <c:y val="0.15088217880402621"/>
          <c:w val="0.77199872378339907"/>
          <c:h val="0.66978475825514672"/>
        </c:manualLayout>
      </c:layout>
      <c:barChart>
        <c:barDir val="col"/>
        <c:grouping val="clustered"/>
        <c:varyColors val="0"/>
        <c:ser>
          <c:idx val="0"/>
          <c:order val="0"/>
          <c:tx>
            <c:strRef>
              <c:f>'36'!$B$21</c:f>
              <c:strCache>
                <c:ptCount val="1"/>
                <c:pt idx="0">
                  <c:v>الزوج Husband</c:v>
                </c:pt>
              </c:strCache>
            </c:strRef>
          </c:tx>
          <c:invertIfNegative val="0"/>
          <c:dLbls>
            <c:delete val="1"/>
          </c:dLbls>
          <c:cat>
            <c:strRef>
              <c:f>'36'!$A$22:$A$27</c:f>
              <c:strCache>
                <c:ptCount val="6"/>
                <c:pt idx="0">
                  <c:v>قطر
Qatar</c:v>
                </c:pt>
                <c:pt idx="1">
                  <c:v>بافي دول مجلس التعاون
Other G.C.C. Countries</c:v>
                </c:pt>
                <c:pt idx="2">
                  <c:v>باقي الدول العربية
Other Arabs Countries</c:v>
                </c:pt>
                <c:pt idx="3">
                  <c:v>دول أسيوية
Asian Countries</c:v>
                </c:pt>
                <c:pt idx="4">
                  <c:v>دول أوروبية
Europen Countries</c:v>
                </c:pt>
                <c:pt idx="5">
                  <c:v>دول أخرى
Other Countries</c:v>
                </c:pt>
              </c:strCache>
            </c:strRef>
          </c:cat>
          <c:val>
            <c:numRef>
              <c:f>'36'!$B$22:$B$27</c:f>
              <c:numCache>
                <c:formatCode>General</c:formatCode>
                <c:ptCount val="6"/>
                <c:pt idx="0" formatCode="#,##0">
                  <c:v>807</c:v>
                </c:pt>
                <c:pt idx="1">
                  <c:v>73</c:v>
                </c:pt>
                <c:pt idx="2">
                  <c:v>340</c:v>
                </c:pt>
                <c:pt idx="3">
                  <c:v>46</c:v>
                </c:pt>
                <c:pt idx="4">
                  <c:v>15</c:v>
                </c:pt>
                <c:pt idx="5">
                  <c:v>26</c:v>
                </c:pt>
              </c:numCache>
            </c:numRef>
          </c:val>
        </c:ser>
        <c:ser>
          <c:idx val="1"/>
          <c:order val="1"/>
          <c:tx>
            <c:strRef>
              <c:f>'36'!$C$21</c:f>
              <c:strCache>
                <c:ptCount val="1"/>
                <c:pt idx="0">
                  <c:v>الزوجة Wife</c:v>
                </c:pt>
              </c:strCache>
            </c:strRef>
          </c:tx>
          <c:invertIfNegative val="0"/>
          <c:dLbls>
            <c:delete val="1"/>
          </c:dLbls>
          <c:cat>
            <c:strRef>
              <c:f>'36'!$A$22:$A$27</c:f>
              <c:strCache>
                <c:ptCount val="6"/>
                <c:pt idx="0">
                  <c:v>قطر
Qatar</c:v>
                </c:pt>
                <c:pt idx="1">
                  <c:v>بافي دول مجلس التعاون
Other G.C.C. Countries</c:v>
                </c:pt>
                <c:pt idx="2">
                  <c:v>باقي الدول العربية
Other Arabs Countries</c:v>
                </c:pt>
                <c:pt idx="3">
                  <c:v>دول أسيوية
Asian Countries</c:v>
                </c:pt>
                <c:pt idx="4">
                  <c:v>دول أوروبية
Europen Countries</c:v>
                </c:pt>
                <c:pt idx="5">
                  <c:v>دول أخرى
Other Countries</c:v>
                </c:pt>
              </c:strCache>
            </c:strRef>
          </c:cat>
          <c:val>
            <c:numRef>
              <c:f>'36'!$C$22:$C$27</c:f>
              <c:numCache>
                <c:formatCode>General</c:formatCode>
                <c:ptCount val="6"/>
                <c:pt idx="0">
                  <c:v>706</c:v>
                </c:pt>
                <c:pt idx="1">
                  <c:v>148</c:v>
                </c:pt>
                <c:pt idx="2">
                  <c:v>339</c:v>
                </c:pt>
                <c:pt idx="3">
                  <c:v>70</c:v>
                </c:pt>
                <c:pt idx="4">
                  <c:v>21</c:v>
                </c:pt>
                <c:pt idx="5">
                  <c:v>23</c:v>
                </c:pt>
              </c:numCache>
            </c:numRef>
          </c:val>
        </c:ser>
        <c:dLbls>
          <c:showLegendKey val="0"/>
          <c:showVal val="1"/>
          <c:showCatName val="0"/>
          <c:showSerName val="0"/>
          <c:showPercent val="0"/>
          <c:showBubbleSize val="0"/>
        </c:dLbls>
        <c:gapWidth val="150"/>
        <c:axId val="150354176"/>
        <c:axId val="150360448"/>
      </c:barChart>
      <c:catAx>
        <c:axId val="150354176"/>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000" b="1" i="0" u="none" strike="noStrike" baseline="0">
                    <a:solidFill>
                      <a:srgbClr val="333399"/>
                    </a:solidFill>
                    <a:latin typeface="Arial"/>
                    <a:cs typeface="Arial"/>
                  </a:rPr>
                  <a:t>Nationality</a:t>
                </a:r>
                <a:r>
                  <a:rPr lang="ar-QA" sz="1200" b="1" i="0" u="none" strike="noStrike" baseline="0">
                    <a:solidFill>
                      <a:srgbClr val="333399"/>
                    </a:solidFill>
                    <a:latin typeface="Arial"/>
                    <a:cs typeface="Arial"/>
                  </a:rPr>
                  <a:t>الجنسية  </a:t>
                </a:r>
              </a:p>
            </c:rich>
          </c:tx>
          <c:overlay val="0"/>
        </c:title>
        <c:numFmt formatCode="General" sourceLinked="1"/>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0360448"/>
        <c:crosses val="autoZero"/>
        <c:auto val="1"/>
        <c:lblAlgn val="ctr"/>
        <c:lblOffset val="100"/>
        <c:noMultiLvlLbl val="0"/>
      </c:catAx>
      <c:valAx>
        <c:axId val="150360448"/>
        <c:scaling>
          <c:orientation val="minMax"/>
        </c:scaling>
        <c:delete val="0"/>
        <c:axPos val="l"/>
        <c:majorGridlines>
          <c:spPr>
            <a:ln w="19050">
              <a:solidFill>
                <a:schemeClr val="bg2"/>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1200" b="1" i="0" u="none" strike="noStrike" baseline="0">
                    <a:solidFill>
                      <a:srgbClr val="333399"/>
                    </a:solidFill>
                    <a:latin typeface="Arial"/>
                    <a:cs typeface="Arial"/>
                  </a:rPr>
                  <a:t>العدد</a:t>
                </a:r>
              </a:p>
              <a:p>
                <a:pPr algn="ctr">
                  <a:defRPr sz="1100" b="0" i="0" u="none" strike="noStrike" baseline="0">
                    <a:solidFill>
                      <a:srgbClr val="000000"/>
                    </a:solidFill>
                    <a:latin typeface="Calibri"/>
                    <a:ea typeface="Calibri"/>
                    <a:cs typeface="Calibri"/>
                  </a:defRPr>
                </a:pPr>
                <a:r>
                  <a:rPr lang="en-US" sz="1000" b="1" i="0" u="none" strike="noStrike" baseline="0">
                    <a:solidFill>
                      <a:srgbClr val="333399"/>
                    </a:solidFill>
                    <a:latin typeface="Arial"/>
                    <a:cs typeface="Arial"/>
                  </a:rPr>
                  <a:t>Number</a:t>
                </a:r>
              </a:p>
            </c:rich>
          </c:tx>
          <c:layout>
            <c:manualLayout>
              <c:xMode val="edge"/>
              <c:yMode val="edge"/>
              <c:x val="2.4464889257263887E-2"/>
              <c:y val="6.9901106968575905E-2"/>
            </c:manualLayout>
          </c:layout>
          <c:overlay val="0"/>
        </c:title>
        <c:numFmt formatCode="#,##0" sourceLinked="1"/>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0354176"/>
        <c:crosses val="autoZero"/>
        <c:crossBetween val="between"/>
      </c:valAx>
    </c:plotArea>
    <c:legend>
      <c:legendPos val="r"/>
      <c:overlay val="0"/>
      <c:txPr>
        <a:bodyPr/>
        <a:lstStyle/>
        <a:p>
          <a:pPr>
            <a:defRPr sz="92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43" l="0.70000000000000062" r="0.70000000000000062" t="0.7500000000000124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الحالة التعليمية للزوجة والزوج</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EDUCATIONAL STATUS OF WIFE AND HUSBAND</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2015</a:t>
            </a:r>
          </a:p>
        </c:rich>
      </c:tx>
      <c:layout>
        <c:manualLayout>
          <c:xMode val="edge"/>
          <c:yMode val="edge"/>
          <c:x val="0.26269698310183137"/>
          <c:y val="1.5811503351184801E-2"/>
        </c:manualLayout>
      </c:layout>
      <c:overlay val="0"/>
      <c:spPr>
        <a:noFill/>
        <a:ln w="25400">
          <a:noFill/>
        </a:ln>
      </c:spPr>
    </c:title>
    <c:autoTitleDeleted val="0"/>
    <c:plotArea>
      <c:layout>
        <c:manualLayout>
          <c:layoutTarget val="inner"/>
          <c:xMode val="edge"/>
          <c:yMode val="edge"/>
          <c:x val="6.4791530272199124E-2"/>
          <c:y val="0.20913348924530303"/>
          <c:w val="0.91136311893597566"/>
          <c:h val="0.61971465341876197"/>
        </c:manualLayout>
      </c:layout>
      <c:barChart>
        <c:barDir val="col"/>
        <c:grouping val="clustered"/>
        <c:varyColors val="0"/>
        <c:ser>
          <c:idx val="0"/>
          <c:order val="0"/>
          <c:tx>
            <c:strRef>
              <c:f>'38.3'!$B$27</c:f>
              <c:strCache>
                <c:ptCount val="1"/>
                <c:pt idx="0">
                  <c:v>الزوج Husband</c:v>
                </c:pt>
              </c:strCache>
            </c:strRef>
          </c:tx>
          <c:spPr>
            <a:solidFill>
              <a:schemeClr val="accent1"/>
            </a:solidFill>
            <a:scene3d>
              <a:camera prst="orthographicFront"/>
              <a:lightRig rig="threePt" dir="t"/>
            </a:scene3d>
            <a:sp3d/>
          </c:spPr>
          <c:invertIfNegative val="0"/>
          <c:cat>
            <c:strRef>
              <c:f>'38.3'!$A$28:$A$35</c:f>
              <c:strCache>
                <c:ptCount val="8"/>
                <c:pt idx="0">
                  <c:v>أمي
Illiterate</c:v>
                </c:pt>
                <c:pt idx="1">
                  <c:v>يقرأ ويكتب
Read and Write</c:v>
                </c:pt>
                <c:pt idx="2">
                  <c:v>إبتدائي
Primary</c:v>
                </c:pt>
                <c:pt idx="3">
                  <c:v>إعدادي
Preparatory</c:v>
                </c:pt>
                <c:pt idx="4">
                  <c:v>ثانوي
Secondary</c:v>
                </c:pt>
                <c:pt idx="5">
                  <c:v>دبلوم فوق الثانوي
Post Secondary</c:v>
                </c:pt>
                <c:pt idx="6">
                  <c:v>جامعي فما فوق
Univ &amp; Above</c:v>
                </c:pt>
                <c:pt idx="7">
                  <c:v>غير مبين
Not Stated</c:v>
                </c:pt>
              </c:strCache>
            </c:strRef>
          </c:cat>
          <c:val>
            <c:numRef>
              <c:f>'38.3'!$B$28:$B$35</c:f>
              <c:numCache>
                <c:formatCode>General</c:formatCode>
                <c:ptCount val="8"/>
                <c:pt idx="0">
                  <c:v>7</c:v>
                </c:pt>
                <c:pt idx="1">
                  <c:v>22</c:v>
                </c:pt>
                <c:pt idx="2">
                  <c:v>119</c:v>
                </c:pt>
                <c:pt idx="3">
                  <c:v>153</c:v>
                </c:pt>
                <c:pt idx="4">
                  <c:v>508</c:v>
                </c:pt>
                <c:pt idx="5">
                  <c:v>50</c:v>
                </c:pt>
                <c:pt idx="6">
                  <c:v>439</c:v>
                </c:pt>
                <c:pt idx="7">
                  <c:v>9</c:v>
                </c:pt>
              </c:numCache>
            </c:numRef>
          </c:val>
        </c:ser>
        <c:ser>
          <c:idx val="1"/>
          <c:order val="1"/>
          <c:tx>
            <c:strRef>
              <c:f>'38.3'!$C$27</c:f>
              <c:strCache>
                <c:ptCount val="1"/>
                <c:pt idx="0">
                  <c:v>الزوجة Wife</c:v>
                </c:pt>
              </c:strCache>
            </c:strRef>
          </c:tx>
          <c:spPr>
            <a:solidFill>
              <a:schemeClr val="accent2"/>
            </a:solidFill>
            <a:scene3d>
              <a:camera prst="orthographicFront"/>
              <a:lightRig rig="threePt" dir="t"/>
            </a:scene3d>
            <a:sp3d/>
          </c:spPr>
          <c:invertIfNegative val="0"/>
          <c:cat>
            <c:strRef>
              <c:f>'38.3'!$A$28:$A$35</c:f>
              <c:strCache>
                <c:ptCount val="8"/>
                <c:pt idx="0">
                  <c:v>أمي
Illiterate</c:v>
                </c:pt>
                <c:pt idx="1">
                  <c:v>يقرأ ويكتب
Read and Write</c:v>
                </c:pt>
                <c:pt idx="2">
                  <c:v>إبتدائي
Primary</c:v>
                </c:pt>
                <c:pt idx="3">
                  <c:v>إعدادي
Preparatory</c:v>
                </c:pt>
                <c:pt idx="4">
                  <c:v>ثانوي
Secondary</c:v>
                </c:pt>
                <c:pt idx="5">
                  <c:v>دبلوم فوق الثانوي
Post Secondary</c:v>
                </c:pt>
                <c:pt idx="6">
                  <c:v>جامعي فما فوق
Univ &amp; Above</c:v>
                </c:pt>
                <c:pt idx="7">
                  <c:v>غير مبين
Not Stated</c:v>
                </c:pt>
              </c:strCache>
            </c:strRef>
          </c:cat>
          <c:val>
            <c:numRef>
              <c:f>'38.3'!$C$28:$C$35</c:f>
              <c:numCache>
                <c:formatCode>General</c:formatCode>
                <c:ptCount val="8"/>
                <c:pt idx="0">
                  <c:v>32</c:v>
                </c:pt>
                <c:pt idx="1">
                  <c:v>17</c:v>
                </c:pt>
                <c:pt idx="2">
                  <c:v>58</c:v>
                </c:pt>
                <c:pt idx="3">
                  <c:v>155</c:v>
                </c:pt>
                <c:pt idx="4">
                  <c:v>645</c:v>
                </c:pt>
                <c:pt idx="5">
                  <c:v>32</c:v>
                </c:pt>
                <c:pt idx="6">
                  <c:v>365</c:v>
                </c:pt>
                <c:pt idx="7">
                  <c:v>3</c:v>
                </c:pt>
              </c:numCache>
            </c:numRef>
          </c:val>
        </c:ser>
        <c:dLbls>
          <c:showLegendKey val="0"/>
          <c:showVal val="0"/>
          <c:showCatName val="0"/>
          <c:showSerName val="0"/>
          <c:showPercent val="0"/>
          <c:showBubbleSize val="0"/>
        </c:dLbls>
        <c:gapWidth val="150"/>
        <c:axId val="150973056"/>
        <c:axId val="150979328"/>
      </c:barChart>
      <c:catAx>
        <c:axId val="150973056"/>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الحالة التعلمية</a:t>
                </a:r>
              </a:p>
              <a:p>
                <a:pP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 </a:t>
                </a:r>
                <a:r>
                  <a:rPr lang="en-US" sz="1200" b="1" i="0" u="none" strike="noStrike" baseline="0">
                    <a:solidFill>
                      <a:srgbClr val="000000"/>
                    </a:solidFill>
                    <a:latin typeface="Arial"/>
                    <a:cs typeface="Arial"/>
                  </a:rPr>
                  <a:t>Educational Status</a:t>
                </a:r>
              </a:p>
            </c:rich>
          </c:tx>
          <c:layout>
            <c:manualLayout>
              <c:xMode val="edge"/>
              <c:yMode val="edge"/>
              <c:x val="0.46194815535698486"/>
              <c:y val="0.92431165787932068"/>
            </c:manualLayout>
          </c:layout>
          <c:overlay val="0"/>
          <c:spPr>
            <a:noFill/>
            <a:ln w="25400">
              <a:noFill/>
            </a:ln>
          </c:spPr>
        </c:title>
        <c:numFmt formatCode="General" sourceLinked="1"/>
        <c:majorTickMark val="out"/>
        <c:minorTickMark val="none"/>
        <c:tickLblPos val="nextTo"/>
        <c:spPr>
          <a:solidFill>
            <a:sysClr val="window" lastClr="FFFFFF"/>
          </a:solidFill>
        </c:spPr>
        <c:txPr>
          <a:bodyPr rot="0" vert="horz"/>
          <a:lstStyle/>
          <a:p>
            <a:pPr>
              <a:defRPr sz="1100" b="0" i="0" u="none" strike="noStrike" baseline="0">
                <a:solidFill>
                  <a:sysClr val="windowText" lastClr="000000"/>
                </a:solidFill>
                <a:latin typeface="Calibri"/>
                <a:ea typeface="Calibri"/>
                <a:cs typeface="Calibri"/>
              </a:defRPr>
            </a:pPr>
            <a:endParaRPr lang="en-US"/>
          </a:p>
        </c:txPr>
        <c:crossAx val="150979328"/>
        <c:crosses val="autoZero"/>
        <c:auto val="1"/>
        <c:lblAlgn val="ctr"/>
        <c:lblOffset val="100"/>
        <c:tickLblSkip val="1"/>
        <c:tickMarkSkip val="1"/>
        <c:noMultiLvlLbl val="0"/>
      </c:catAx>
      <c:valAx>
        <c:axId val="150979328"/>
        <c:scaling>
          <c:orientation val="minMax"/>
        </c:scaling>
        <c:delete val="0"/>
        <c:axPos val="l"/>
        <c:majorGridlines>
          <c:spPr>
            <a:ln w="190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العدد</a:t>
                </a:r>
              </a:p>
              <a:p>
                <a:pPr algn="ct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Arial"/>
                    <a:cs typeface="Arial"/>
                  </a:rPr>
                  <a:t>Number</a:t>
                </a:r>
              </a:p>
            </c:rich>
          </c:tx>
          <c:layout>
            <c:manualLayout>
              <c:xMode val="edge"/>
              <c:yMode val="edge"/>
              <c:x val="1.2273555693178803E-2"/>
              <c:y val="0.13232830079016925"/>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rgbClr val="333399"/>
                </a:solidFill>
                <a:latin typeface="Arial"/>
                <a:ea typeface="Arial"/>
                <a:cs typeface="Arial"/>
              </a:defRPr>
            </a:pPr>
            <a:endParaRPr lang="en-US"/>
          </a:p>
        </c:txPr>
        <c:crossAx val="150973056"/>
        <c:crosses val="autoZero"/>
        <c:crossBetween val="between"/>
      </c:valAx>
      <c:spPr>
        <a:noFill/>
        <a:ln w="25400">
          <a:noFill/>
        </a:ln>
      </c:spPr>
    </c:plotArea>
    <c:legend>
      <c:legendPos val="r"/>
      <c:layout>
        <c:manualLayout>
          <c:xMode val="edge"/>
          <c:yMode val="edge"/>
          <c:x val="0.16451738476511046"/>
          <c:y val="0.23889127215864273"/>
          <c:w val="0.13216620956088354"/>
          <c:h val="0.10154426654488929"/>
        </c:manualLayout>
      </c:layout>
      <c:overlay val="0"/>
      <c:txPr>
        <a:bodyPr/>
        <a:lstStyle/>
        <a:p>
          <a:pPr>
            <a:defRPr sz="101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39370078740157488"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مهنة الزوجة والزوج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OCCUPATION OF WIFE AND HUSBAND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2015</a:t>
            </a:r>
          </a:p>
        </c:rich>
      </c:tx>
      <c:layout>
        <c:manualLayout>
          <c:xMode val="edge"/>
          <c:yMode val="edge"/>
          <c:x val="0.26793834594205584"/>
          <c:y val="8.4745688196012671E-3"/>
        </c:manualLayout>
      </c:layout>
      <c:overlay val="0"/>
      <c:spPr>
        <a:noFill/>
        <a:ln w="25400">
          <a:noFill/>
        </a:ln>
      </c:spPr>
    </c:title>
    <c:autoTitleDeleted val="0"/>
    <c:plotArea>
      <c:layout>
        <c:manualLayout>
          <c:layoutTarget val="inner"/>
          <c:xMode val="edge"/>
          <c:yMode val="edge"/>
          <c:x val="7.1879728269260465E-2"/>
          <c:y val="0.20044105039633864"/>
          <c:w val="0.92225284339457569"/>
          <c:h val="0.52142004862457525"/>
        </c:manualLayout>
      </c:layout>
      <c:barChart>
        <c:barDir val="col"/>
        <c:grouping val="clustered"/>
        <c:varyColors val="0"/>
        <c:ser>
          <c:idx val="0"/>
          <c:order val="0"/>
          <c:tx>
            <c:strRef>
              <c:f>'40.3'!$B$27</c:f>
              <c:strCache>
                <c:ptCount val="1"/>
                <c:pt idx="0">
                  <c:v>الزوج Husband</c:v>
                </c:pt>
              </c:strCache>
            </c:strRef>
          </c:tx>
          <c:spPr>
            <a:scene3d>
              <a:camera prst="orthographicFront"/>
              <a:lightRig rig="threePt" dir="t">
                <a:rot lat="0" lon="0" rev="1200000"/>
              </a:lightRig>
            </a:scene3d>
            <a:sp3d/>
          </c:spPr>
          <c:invertIfNegative val="0"/>
          <c:dLbls>
            <c:delete val="1"/>
          </c:dLbls>
          <c:cat>
            <c:strRef>
              <c:f>'40.3'!$A$28:$A$35</c:f>
              <c:strCache>
                <c:ptCount val="8"/>
                <c:pt idx="0">
                  <c:v>الكتبة
Clerks</c:v>
                </c:pt>
                <c:pt idx="1">
                  <c:v>المهن العادية
 Elementary Occupations</c:v>
                </c:pt>
                <c:pt idx="2">
                  <c:v>العاملون في الخدمات والباعة في المحلات التجارية والأسواق
Service Workers And Shop And Market Sales Workers</c:v>
                </c:pt>
                <c:pt idx="3">
                  <c:v>الاختصاصيون
Professionals</c:v>
                </c:pt>
                <c:pt idx="4">
                  <c:v>الفنيون والاختصاصيون المساعدون
Technicians And Associate Professionals</c:v>
                </c:pt>
                <c:pt idx="5">
                  <c:v>المشرعون وموظفو الادارة العليا والمديرون
Legislators, Senior Officials And Managers</c:v>
                </c:pt>
                <c:pt idx="6">
                  <c:v>بدون مهنة
 No Occup</c:v>
                </c:pt>
                <c:pt idx="7">
                  <c:v>أخرى Other</c:v>
                </c:pt>
              </c:strCache>
            </c:strRef>
          </c:cat>
          <c:val>
            <c:numRef>
              <c:f>'40.3'!$B$28:$B$35</c:f>
              <c:numCache>
                <c:formatCode>General</c:formatCode>
                <c:ptCount val="8"/>
                <c:pt idx="0">
                  <c:v>201</c:v>
                </c:pt>
                <c:pt idx="1">
                  <c:v>20</c:v>
                </c:pt>
                <c:pt idx="2">
                  <c:v>38</c:v>
                </c:pt>
                <c:pt idx="3">
                  <c:v>56</c:v>
                </c:pt>
                <c:pt idx="4">
                  <c:v>126</c:v>
                </c:pt>
                <c:pt idx="5">
                  <c:v>41</c:v>
                </c:pt>
                <c:pt idx="6">
                  <c:v>44</c:v>
                </c:pt>
                <c:pt idx="7">
                  <c:v>7</c:v>
                </c:pt>
              </c:numCache>
            </c:numRef>
          </c:val>
        </c:ser>
        <c:ser>
          <c:idx val="1"/>
          <c:order val="1"/>
          <c:tx>
            <c:strRef>
              <c:f>'40.3'!$C$27</c:f>
              <c:strCache>
                <c:ptCount val="1"/>
                <c:pt idx="0">
                  <c:v>الزوجة Wife</c:v>
                </c:pt>
              </c:strCache>
            </c:strRef>
          </c:tx>
          <c:spPr>
            <a:scene3d>
              <a:camera prst="orthographicFront"/>
              <a:lightRig rig="threePt" dir="t">
                <a:rot lat="0" lon="0" rev="1200000"/>
              </a:lightRig>
            </a:scene3d>
            <a:sp3d/>
          </c:spPr>
          <c:invertIfNegative val="0"/>
          <c:dLbls>
            <c:delete val="1"/>
          </c:dLbls>
          <c:cat>
            <c:strRef>
              <c:f>'40.3'!$A$28:$A$35</c:f>
              <c:strCache>
                <c:ptCount val="8"/>
                <c:pt idx="0">
                  <c:v>الكتبة
Clerks</c:v>
                </c:pt>
                <c:pt idx="1">
                  <c:v>المهن العادية
 Elementary Occupations</c:v>
                </c:pt>
                <c:pt idx="2">
                  <c:v>العاملون في الخدمات والباعة في المحلات التجارية والأسواق
Service Workers And Shop And Market Sales Workers</c:v>
                </c:pt>
                <c:pt idx="3">
                  <c:v>الاختصاصيون
Professionals</c:v>
                </c:pt>
                <c:pt idx="4">
                  <c:v>الفنيون والاختصاصيون المساعدون
Technicians And Associate Professionals</c:v>
                </c:pt>
                <c:pt idx="5">
                  <c:v>المشرعون وموظفو الادارة العليا والمديرون
Legislators, Senior Officials And Managers</c:v>
                </c:pt>
                <c:pt idx="6">
                  <c:v>بدون مهنة
 No Occup</c:v>
                </c:pt>
                <c:pt idx="7">
                  <c:v>أخرى Other</c:v>
                </c:pt>
              </c:strCache>
            </c:strRef>
          </c:cat>
          <c:val>
            <c:numRef>
              <c:f>'40.3'!$C$28:$C$35</c:f>
              <c:numCache>
                <c:formatCode>General</c:formatCode>
                <c:ptCount val="8"/>
                <c:pt idx="0">
                  <c:v>231</c:v>
                </c:pt>
                <c:pt idx="1">
                  <c:v>3</c:v>
                </c:pt>
                <c:pt idx="2">
                  <c:v>34</c:v>
                </c:pt>
                <c:pt idx="3">
                  <c:v>82</c:v>
                </c:pt>
                <c:pt idx="4">
                  <c:v>130</c:v>
                </c:pt>
                <c:pt idx="5">
                  <c:v>7</c:v>
                </c:pt>
                <c:pt idx="6">
                  <c:v>668</c:v>
                </c:pt>
                <c:pt idx="7">
                  <c:v>2</c:v>
                </c:pt>
              </c:numCache>
            </c:numRef>
          </c:val>
        </c:ser>
        <c:dLbls>
          <c:showLegendKey val="0"/>
          <c:showVal val="1"/>
          <c:showCatName val="0"/>
          <c:showSerName val="0"/>
          <c:showPercent val="0"/>
          <c:showBubbleSize val="0"/>
        </c:dLbls>
        <c:gapWidth val="150"/>
        <c:axId val="150861696"/>
        <c:axId val="150872064"/>
      </c:barChart>
      <c:catAx>
        <c:axId val="150861696"/>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ysClr val="windowText" lastClr="000000"/>
                    </a:solidFill>
                    <a:latin typeface="Calibri"/>
                    <a:ea typeface="Calibri"/>
                    <a:cs typeface="Calibri"/>
                  </a:defRPr>
                </a:pPr>
                <a:r>
                  <a:rPr lang="ar-QA" sz="1200" b="1" i="0" u="none" strike="noStrike" baseline="0">
                    <a:solidFill>
                      <a:sysClr val="windowText" lastClr="000000"/>
                    </a:solidFill>
                    <a:latin typeface="Arial"/>
                    <a:cs typeface="Arial"/>
                  </a:rPr>
                  <a:t>المهنة</a:t>
                </a:r>
              </a:p>
              <a:p>
                <a:pPr>
                  <a:defRPr sz="1100" b="0" i="0" u="none" strike="noStrike" baseline="0">
                    <a:solidFill>
                      <a:sysClr val="windowText" lastClr="000000"/>
                    </a:solidFill>
                    <a:latin typeface="Calibri"/>
                    <a:ea typeface="Calibri"/>
                    <a:cs typeface="Calibri"/>
                  </a:defRPr>
                </a:pPr>
                <a:r>
                  <a:rPr lang="en-US" sz="1200" b="1" i="0" u="none" strike="noStrike" baseline="0">
                    <a:solidFill>
                      <a:sysClr val="windowText" lastClr="000000"/>
                    </a:solidFill>
                    <a:latin typeface="Calibri"/>
                  </a:rPr>
                  <a:t>Occupatuon</a:t>
                </a:r>
              </a:p>
            </c:rich>
          </c:tx>
          <c:layout>
            <c:manualLayout>
              <c:xMode val="edge"/>
              <c:yMode val="edge"/>
              <c:x val="0.46651304616334716"/>
              <c:y val="0.92891509164370534"/>
            </c:manualLayout>
          </c:layout>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0872064"/>
        <c:crosses val="autoZero"/>
        <c:auto val="1"/>
        <c:lblAlgn val="ctr"/>
        <c:lblOffset val="100"/>
        <c:tickLblSkip val="1"/>
        <c:tickMarkSkip val="1"/>
        <c:noMultiLvlLbl val="0"/>
      </c:catAx>
      <c:valAx>
        <c:axId val="150872064"/>
        <c:scaling>
          <c:orientation val="minMax"/>
          <c:max val="800"/>
        </c:scaling>
        <c:delete val="0"/>
        <c:axPos val="l"/>
        <c:majorGridlines>
          <c:spPr>
            <a:ln w="19050">
              <a:solidFill>
                <a:schemeClr val="bg2">
                  <a:lumMod val="90000"/>
                </a:schemeClr>
              </a:solidFill>
            </a:ln>
          </c:spPr>
        </c:majorGridlines>
        <c:title>
          <c:tx>
            <c:rich>
              <a:bodyPr rot="0" vert="horz"/>
              <a:lstStyle/>
              <a:p>
                <a:pPr>
                  <a:defRPr sz="1100" b="0" i="0" u="none" strike="noStrike" baseline="0">
                    <a:solidFill>
                      <a:srgbClr val="000000"/>
                    </a:solidFill>
                    <a:latin typeface="Calibri"/>
                    <a:ea typeface="Calibri"/>
                    <a:cs typeface="Calibri"/>
                  </a:defRPr>
                </a:pPr>
                <a:r>
                  <a:rPr lang="ar-QA" sz="1200" b="1" i="0" u="none" strike="noStrike" baseline="0">
                    <a:solidFill>
                      <a:srgbClr val="003366"/>
                    </a:solidFill>
                    <a:latin typeface="Arial"/>
                    <a:cs typeface="Arial"/>
                  </a:rPr>
                  <a:t>الأعداد </a:t>
                </a:r>
              </a:p>
              <a:p>
                <a:pPr>
                  <a:defRPr sz="1100" b="0" i="0" u="none" strike="noStrike" baseline="0">
                    <a:solidFill>
                      <a:srgbClr val="000000"/>
                    </a:solidFill>
                    <a:latin typeface="Calibri"/>
                    <a:ea typeface="Calibri"/>
                    <a:cs typeface="Calibri"/>
                  </a:defRPr>
                </a:pPr>
                <a:r>
                  <a:rPr lang="en-US" sz="1000" b="1" i="0" u="none" strike="noStrike" baseline="0">
                    <a:solidFill>
                      <a:srgbClr val="003366"/>
                    </a:solidFill>
                    <a:latin typeface="Arial"/>
                    <a:cs typeface="Arial"/>
                  </a:rPr>
                  <a:t>Number</a:t>
                </a:r>
              </a:p>
            </c:rich>
          </c:tx>
          <c:layout>
            <c:manualLayout>
              <c:xMode val="edge"/>
              <c:yMode val="edge"/>
              <c:x val="2.6548813751222273E-2"/>
              <c:y val="0.12068566806033668"/>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0861696"/>
        <c:crosses val="autoZero"/>
        <c:crossBetween val="between"/>
        <c:majorUnit val="200"/>
      </c:valAx>
      <c:spPr>
        <a:noFill/>
        <a:ln w="25400">
          <a:noFill/>
        </a:ln>
      </c:spPr>
    </c:plotArea>
    <c:legend>
      <c:legendPos val="r"/>
      <c:layout>
        <c:manualLayout>
          <c:xMode val="edge"/>
          <c:yMode val="edge"/>
          <c:x val="0.17747967165868817"/>
          <c:y val="0.17131888664670691"/>
          <c:w val="0.14334684007195744"/>
          <c:h val="8.7122736776546972E-2"/>
        </c:manualLayout>
      </c:layout>
      <c:overlay val="0"/>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39370078740157488"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للقطريين حسب صلة القرابة وفئة عمر الزوج والزوجة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OF QATARI  ACCORDING TO RELATION AND AGE GROUP OF WIFE AND HUSBAND</a:t>
            </a: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القرابة من الدرجة الأولى  </a:t>
            </a:r>
            <a:r>
              <a:rPr lang="en-US" sz="1200" b="1" i="0" u="none" strike="noStrike" baseline="0">
                <a:solidFill>
                  <a:srgbClr val="000000"/>
                </a:solidFill>
                <a:latin typeface="Arial"/>
                <a:cs typeface="Arial"/>
              </a:rPr>
              <a:t>Relation of first class</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2015</a:t>
            </a:r>
          </a:p>
        </c:rich>
      </c:tx>
      <c:layout>
        <c:manualLayout>
          <c:xMode val="edge"/>
          <c:yMode val="edge"/>
          <c:x val="0.16685479309385068"/>
          <c:y val="8.6391255887534601E-3"/>
        </c:manualLayout>
      </c:layout>
      <c:overlay val="0"/>
    </c:title>
    <c:autoTitleDeleted val="0"/>
    <c:plotArea>
      <c:layout>
        <c:manualLayout>
          <c:layoutTarget val="inner"/>
          <c:xMode val="edge"/>
          <c:yMode val="edge"/>
          <c:x val="5.6390642161748022E-2"/>
          <c:y val="0.23358825009887463"/>
          <c:w val="0.91174123188991341"/>
          <c:h val="0.65421493546183429"/>
        </c:manualLayout>
      </c:layout>
      <c:barChart>
        <c:barDir val="col"/>
        <c:grouping val="clustered"/>
        <c:varyColors val="0"/>
        <c:ser>
          <c:idx val="1"/>
          <c:order val="0"/>
          <c:tx>
            <c:strRef>
              <c:f>'41.1'!$K$28</c:f>
              <c:strCache>
                <c:ptCount val="1"/>
                <c:pt idx="0">
                  <c:v>إشهادات الطلاق للزوج
 Husband's Divorces</c:v>
                </c:pt>
              </c:strCache>
            </c:strRef>
          </c:tx>
          <c:spPr>
            <a:solidFill>
              <a:schemeClr val="tx2">
                <a:lumMod val="60000"/>
                <a:lumOff val="40000"/>
              </a:schemeClr>
            </a:solidFill>
            <a:scene3d>
              <a:camera prst="orthographicFront"/>
              <a:lightRig rig="threePt" dir="t"/>
            </a:scene3d>
            <a:sp3d prstMaterial="flat"/>
          </c:spPr>
          <c:invertIfNegative val="0"/>
          <c:cat>
            <c:strRef>
              <c:f>'41.1'!$I$29:$I$38</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'41.1'!$K$29:$K$38</c:f>
              <c:numCache>
                <c:formatCode>General</c:formatCode>
                <c:ptCount val="10"/>
                <c:pt idx="0">
                  <c:v>0</c:v>
                </c:pt>
                <c:pt idx="1">
                  <c:v>34</c:v>
                </c:pt>
                <c:pt idx="2">
                  <c:v>56</c:v>
                </c:pt>
                <c:pt idx="3">
                  <c:v>33</c:v>
                </c:pt>
                <c:pt idx="4">
                  <c:v>14</c:v>
                </c:pt>
                <c:pt idx="5">
                  <c:v>3</c:v>
                </c:pt>
                <c:pt idx="6">
                  <c:v>4</c:v>
                </c:pt>
                <c:pt idx="7">
                  <c:v>1</c:v>
                </c:pt>
                <c:pt idx="8">
                  <c:v>3</c:v>
                </c:pt>
                <c:pt idx="9">
                  <c:v>3</c:v>
                </c:pt>
              </c:numCache>
            </c:numRef>
          </c:val>
        </c:ser>
        <c:ser>
          <c:idx val="0"/>
          <c:order val="1"/>
          <c:tx>
            <c:strRef>
              <c:f>'41.1'!$J$28</c:f>
              <c:strCache>
                <c:ptCount val="1"/>
                <c:pt idx="0">
                  <c:v>إشهادات الطلاق للزوجة
 Wife's Divorces</c:v>
                </c:pt>
              </c:strCache>
            </c:strRef>
          </c:tx>
          <c:spPr>
            <a:solidFill>
              <a:schemeClr val="accent2"/>
            </a:solidFill>
            <a:scene3d>
              <a:camera prst="orthographicFront"/>
              <a:lightRig rig="threePt" dir="t"/>
            </a:scene3d>
            <a:sp3d/>
          </c:spPr>
          <c:invertIfNegative val="0"/>
          <c:cat>
            <c:strRef>
              <c:f>'41.1'!$I$29:$I$38</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'41.1'!$J$29:$J$38</c:f>
              <c:numCache>
                <c:formatCode>General</c:formatCode>
                <c:ptCount val="10"/>
                <c:pt idx="0">
                  <c:v>6</c:v>
                </c:pt>
                <c:pt idx="1">
                  <c:v>61</c:v>
                </c:pt>
                <c:pt idx="2">
                  <c:v>46</c:v>
                </c:pt>
                <c:pt idx="3">
                  <c:v>18</c:v>
                </c:pt>
                <c:pt idx="4">
                  <c:v>9</c:v>
                </c:pt>
                <c:pt idx="5">
                  <c:v>4</c:v>
                </c:pt>
                <c:pt idx="6">
                  <c:v>2</c:v>
                </c:pt>
                <c:pt idx="7">
                  <c:v>2</c:v>
                </c:pt>
                <c:pt idx="8">
                  <c:v>0</c:v>
                </c:pt>
                <c:pt idx="9">
                  <c:v>3</c:v>
                </c:pt>
              </c:numCache>
            </c:numRef>
          </c:val>
        </c:ser>
        <c:dLbls>
          <c:showLegendKey val="0"/>
          <c:showVal val="0"/>
          <c:showCatName val="0"/>
          <c:showSerName val="0"/>
          <c:showPercent val="0"/>
          <c:showBubbleSize val="0"/>
        </c:dLbls>
        <c:gapWidth val="150"/>
        <c:axId val="151734912"/>
        <c:axId val="151741184"/>
      </c:barChart>
      <c:catAx>
        <c:axId val="151734912"/>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Age groups</a:t>
                </a:r>
                <a:r>
                  <a:rPr lang="ar-QA" sz="1200" b="1" i="0" u="none" strike="noStrike" baseline="0">
                    <a:solidFill>
                      <a:srgbClr val="000000"/>
                    </a:solidFill>
                    <a:latin typeface="Calibri"/>
                  </a:rPr>
                  <a:t>الفئات العمرية </a:t>
                </a:r>
              </a:p>
            </c:rich>
          </c:tx>
          <c:layout>
            <c:manualLayout>
              <c:xMode val="edge"/>
              <c:yMode val="edge"/>
              <c:x val="0.40518278430704641"/>
              <c:y val="0.9559200733470099"/>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1741184"/>
        <c:crosses val="autoZero"/>
        <c:auto val="1"/>
        <c:lblAlgn val="ctr"/>
        <c:lblOffset val="100"/>
        <c:noMultiLvlLbl val="0"/>
      </c:catAx>
      <c:valAx>
        <c:axId val="151741184"/>
        <c:scaling>
          <c:orientation val="minMax"/>
        </c:scaling>
        <c:delete val="0"/>
        <c:axPos val="l"/>
        <c:majorGridlines>
          <c:spPr>
            <a:ln w="19050">
              <a:solidFill>
                <a:schemeClr val="bg2"/>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العدد</a:t>
                </a:r>
              </a:p>
              <a:p>
                <a:pPr algn="ctr">
                  <a:defRPr sz="1100" b="0" i="0" u="none" strike="noStrike" baseline="0">
                    <a:solidFill>
                      <a:srgbClr val="000000"/>
                    </a:solidFill>
                    <a:latin typeface="Calibri"/>
                    <a:ea typeface="Calibri"/>
                    <a:cs typeface="Calibri"/>
                  </a:defRPr>
                </a:pPr>
                <a:r>
                  <a:rPr lang="en-US" sz="1200" b="1" i="0" u="none" strike="noStrike" baseline="0">
                    <a:solidFill>
                      <a:srgbClr val="000000"/>
                    </a:solidFill>
                    <a:latin typeface="Calibri"/>
                  </a:rPr>
                  <a:t>No.</a:t>
                </a:r>
              </a:p>
            </c:rich>
          </c:tx>
          <c:layout>
            <c:manualLayout>
              <c:xMode val="edge"/>
              <c:yMode val="edge"/>
              <c:x val="1.6729545066843838E-2"/>
              <c:y val="0.14336982705928883"/>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1734912"/>
        <c:crosses val="autoZero"/>
        <c:crossBetween val="between"/>
      </c:valAx>
    </c:plotArea>
    <c:legend>
      <c:legendPos val="r"/>
      <c:layout>
        <c:manualLayout>
          <c:xMode val="edge"/>
          <c:yMode val="edge"/>
          <c:x val="0.37118930259145388"/>
          <c:y val="0.21631053823751484"/>
          <c:w val="0.50169050419438765"/>
          <c:h val="6.1787653255672023E-2"/>
        </c:manualLayout>
      </c:layout>
      <c:overlay val="0"/>
      <c:spPr>
        <a:solidFill>
          <a:schemeClr val="bg1"/>
        </a:solidFill>
        <a:ln>
          <a:solidFill>
            <a:sysClr val="windowText" lastClr="000000"/>
          </a:solidFill>
        </a:ln>
      </c:spPr>
      <c:txPr>
        <a:bodyPr/>
        <a:lstStyle/>
        <a:p>
          <a:pPr>
            <a:defRPr sz="1100" b="1" i="0" u="none" strike="noStrike" baseline="0">
              <a:solidFill>
                <a:sysClr val="windowText" lastClr="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للقطريين حسب صلة القرابة وفئة عمر الزوج والزوجة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OF QATARI  ACCORDING TO RELATION AND AGE GROUP OF WIFE AND HUSBAND</a:t>
            </a: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القرابة من الدرجة الثانية </a:t>
            </a:r>
            <a:r>
              <a:rPr lang="en-US" sz="1200" b="1" i="0" u="none" strike="noStrike" baseline="0">
                <a:solidFill>
                  <a:srgbClr val="000000"/>
                </a:solidFill>
                <a:latin typeface="Arial"/>
                <a:cs typeface="Arial"/>
              </a:rPr>
              <a:t>Relation of second class</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2015</a:t>
            </a:r>
          </a:p>
        </c:rich>
      </c:tx>
      <c:layout>
        <c:manualLayout>
          <c:xMode val="edge"/>
          <c:yMode val="edge"/>
          <c:x val="0.13517656883798615"/>
          <c:y val="1.1014754912392706E-2"/>
        </c:manualLayout>
      </c:layout>
      <c:overlay val="0"/>
    </c:title>
    <c:autoTitleDeleted val="0"/>
    <c:plotArea>
      <c:layout>
        <c:manualLayout>
          <c:layoutTarget val="inner"/>
          <c:xMode val="edge"/>
          <c:yMode val="edge"/>
          <c:x val="6.2487473156764485E-2"/>
          <c:y val="0.23931643062383701"/>
          <c:w val="0.91170496301598669"/>
          <c:h val="0.61616584728939339"/>
        </c:manualLayout>
      </c:layout>
      <c:barChart>
        <c:barDir val="col"/>
        <c:grouping val="clustered"/>
        <c:varyColors val="0"/>
        <c:ser>
          <c:idx val="1"/>
          <c:order val="0"/>
          <c:tx>
            <c:strRef>
              <c:f>'41.2'!$C$26</c:f>
              <c:strCache>
                <c:ptCount val="1"/>
                <c:pt idx="0">
                  <c:v>إشهادات الطلاق للزوج
 Husband's Divorces</c:v>
                </c:pt>
              </c:strCache>
            </c:strRef>
          </c:tx>
          <c:spPr>
            <a:solidFill>
              <a:schemeClr val="tx2">
                <a:lumMod val="60000"/>
                <a:lumOff val="40000"/>
              </a:schemeClr>
            </a:solidFill>
            <a:scene3d>
              <a:camera prst="orthographicFront"/>
              <a:lightRig rig="threePt" dir="t"/>
            </a:scene3d>
            <a:sp3d prstMaterial="flat"/>
          </c:spPr>
          <c:invertIfNegative val="0"/>
          <c:cat>
            <c:strRef>
              <c:f>'41.2'!$A$27:$A$36</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'41.2'!$C$27:$C$36</c:f>
              <c:numCache>
                <c:formatCode>General</c:formatCode>
                <c:ptCount val="10"/>
                <c:pt idx="0">
                  <c:v>1</c:v>
                </c:pt>
                <c:pt idx="1">
                  <c:v>27</c:v>
                </c:pt>
                <c:pt idx="2">
                  <c:v>42</c:v>
                </c:pt>
                <c:pt idx="3">
                  <c:v>23</c:v>
                </c:pt>
                <c:pt idx="4">
                  <c:v>9</c:v>
                </c:pt>
                <c:pt idx="5">
                  <c:v>11</c:v>
                </c:pt>
                <c:pt idx="6">
                  <c:v>8</c:v>
                </c:pt>
                <c:pt idx="7">
                  <c:v>2</c:v>
                </c:pt>
                <c:pt idx="8">
                  <c:v>6</c:v>
                </c:pt>
                <c:pt idx="9">
                  <c:v>4</c:v>
                </c:pt>
              </c:numCache>
            </c:numRef>
          </c:val>
        </c:ser>
        <c:ser>
          <c:idx val="0"/>
          <c:order val="1"/>
          <c:tx>
            <c:strRef>
              <c:f>'41.2'!$B$26</c:f>
              <c:strCache>
                <c:ptCount val="1"/>
                <c:pt idx="0">
                  <c:v>إشهادات الطلاق للزوجة
 Wife's Divorces</c:v>
                </c:pt>
              </c:strCache>
            </c:strRef>
          </c:tx>
          <c:spPr>
            <a:solidFill>
              <a:schemeClr val="accent2"/>
            </a:solidFill>
            <a:scene3d>
              <a:camera prst="orthographicFront"/>
              <a:lightRig rig="threePt" dir="t"/>
            </a:scene3d>
            <a:sp3d/>
          </c:spPr>
          <c:invertIfNegative val="0"/>
          <c:cat>
            <c:strRef>
              <c:f>'41.2'!$A$27:$A$36</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'41.2'!$B$27:$B$36</c:f>
              <c:numCache>
                <c:formatCode>General</c:formatCode>
                <c:ptCount val="10"/>
                <c:pt idx="0">
                  <c:v>11</c:v>
                </c:pt>
                <c:pt idx="1">
                  <c:v>30</c:v>
                </c:pt>
                <c:pt idx="2">
                  <c:v>37</c:v>
                </c:pt>
                <c:pt idx="3">
                  <c:v>23</c:v>
                </c:pt>
                <c:pt idx="4">
                  <c:v>13</c:v>
                </c:pt>
                <c:pt idx="5">
                  <c:v>4</c:v>
                </c:pt>
                <c:pt idx="6">
                  <c:v>8</c:v>
                </c:pt>
                <c:pt idx="7">
                  <c:v>5</c:v>
                </c:pt>
                <c:pt idx="8">
                  <c:v>4</c:v>
                </c:pt>
                <c:pt idx="9">
                  <c:v>3</c:v>
                </c:pt>
              </c:numCache>
            </c:numRef>
          </c:val>
        </c:ser>
        <c:dLbls>
          <c:showLegendKey val="0"/>
          <c:showVal val="0"/>
          <c:showCatName val="0"/>
          <c:showSerName val="0"/>
          <c:showPercent val="0"/>
          <c:showBubbleSize val="0"/>
        </c:dLbls>
        <c:gapWidth val="150"/>
        <c:axId val="154348928"/>
        <c:axId val="154351104"/>
      </c:barChart>
      <c:catAx>
        <c:axId val="154348928"/>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Age groups</a:t>
                </a:r>
                <a:r>
                  <a:rPr lang="ar-QA" sz="1200" b="1" i="0" u="none" strike="noStrike" baseline="0">
                    <a:solidFill>
                      <a:srgbClr val="000000"/>
                    </a:solidFill>
                    <a:latin typeface="Calibri"/>
                  </a:rPr>
                  <a:t>الفئات العمرية </a:t>
                </a:r>
              </a:p>
            </c:rich>
          </c:tx>
          <c:layout>
            <c:manualLayout>
              <c:xMode val="edge"/>
              <c:yMode val="edge"/>
              <c:x val="0.43714089716058996"/>
              <c:y val="0.93742214655600486"/>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4351104"/>
        <c:crosses val="autoZero"/>
        <c:auto val="1"/>
        <c:lblAlgn val="ctr"/>
        <c:lblOffset val="100"/>
        <c:noMultiLvlLbl val="0"/>
      </c:catAx>
      <c:valAx>
        <c:axId val="154351104"/>
        <c:scaling>
          <c:orientation val="minMax"/>
        </c:scaling>
        <c:delete val="0"/>
        <c:axPos val="l"/>
        <c:majorGridlines>
          <c:spPr>
            <a:ln w="19050">
              <a:solidFill>
                <a:schemeClr val="bg2"/>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العدد </a:t>
                </a:r>
              </a:p>
              <a:p>
                <a:pPr algn="ctr">
                  <a:defRPr sz="1100" b="0" i="0" u="none" strike="noStrike" baseline="0">
                    <a:solidFill>
                      <a:srgbClr val="000000"/>
                    </a:solidFill>
                    <a:latin typeface="Calibri"/>
                    <a:ea typeface="Calibri"/>
                    <a:cs typeface="Calibri"/>
                  </a:defRPr>
                </a:pPr>
                <a:r>
                  <a:rPr lang="en-US" sz="1200" b="1" i="0" u="none" strike="noStrike" baseline="0">
                    <a:solidFill>
                      <a:srgbClr val="000000"/>
                    </a:solidFill>
                    <a:latin typeface="Calibri"/>
                  </a:rPr>
                  <a:t>No.</a:t>
                </a:r>
              </a:p>
            </c:rich>
          </c:tx>
          <c:layout>
            <c:manualLayout>
              <c:xMode val="edge"/>
              <c:yMode val="edge"/>
              <c:x val="2.66546170365068E-2"/>
              <c:y val="0.14443405234244194"/>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4348928"/>
        <c:crosses val="autoZero"/>
        <c:crossBetween val="between"/>
      </c:valAx>
    </c:plotArea>
    <c:legend>
      <c:legendPos val="r"/>
      <c:layout>
        <c:manualLayout>
          <c:xMode val="edge"/>
          <c:yMode val="edge"/>
          <c:x val="0.40131961345741446"/>
          <c:y val="0.21566255231609571"/>
          <c:w val="0.50149534717251254"/>
          <c:h val="6.7709441725189792E-2"/>
        </c:manualLayout>
      </c:layout>
      <c:overlay val="0"/>
      <c:spPr>
        <a:solidFill>
          <a:schemeClr val="bg1"/>
        </a:solidFill>
        <a:ln>
          <a:solidFill>
            <a:sysClr val="windowText" lastClr="000000"/>
          </a:solidFill>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للقطريين حسب صلة القرابة وفئة عمر الزوج والزوجة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OF QATARI  ACCORDING TO RELATION AND AGE GROUP OF WIFE AND HUSBAND</a:t>
            </a: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لا توجد صلة قرابة </a:t>
            </a:r>
            <a:r>
              <a:rPr lang="en-US" sz="1200" b="1" i="0" u="none" strike="noStrike" baseline="0">
                <a:solidFill>
                  <a:srgbClr val="000000"/>
                </a:solidFill>
                <a:latin typeface="Arial"/>
                <a:cs typeface="Arial"/>
              </a:rPr>
              <a:t>No Relation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2015</a:t>
            </a:r>
          </a:p>
        </c:rich>
      </c:tx>
      <c:layout>
        <c:manualLayout>
          <c:xMode val="edge"/>
          <c:yMode val="edge"/>
          <c:x val="0.15348200522553729"/>
          <c:y val="1.7771609057342409E-2"/>
        </c:manualLayout>
      </c:layout>
      <c:overlay val="0"/>
    </c:title>
    <c:autoTitleDeleted val="0"/>
    <c:plotArea>
      <c:layout>
        <c:manualLayout>
          <c:layoutTarget val="inner"/>
          <c:xMode val="edge"/>
          <c:yMode val="edge"/>
          <c:x val="6.4009498812648419E-2"/>
          <c:y val="0.22141732283464566"/>
          <c:w val="0.90412234185012585"/>
          <c:h val="0.64292800708259001"/>
        </c:manualLayout>
      </c:layout>
      <c:barChart>
        <c:barDir val="col"/>
        <c:grouping val="clustered"/>
        <c:varyColors val="0"/>
        <c:ser>
          <c:idx val="1"/>
          <c:order val="0"/>
          <c:tx>
            <c:strRef>
              <c:f>'41.3'!$C$26</c:f>
              <c:strCache>
                <c:ptCount val="1"/>
                <c:pt idx="0">
                  <c:v>إشهادات الطلاق للزوج
 Husband's Divorces</c:v>
                </c:pt>
              </c:strCache>
            </c:strRef>
          </c:tx>
          <c:spPr>
            <a:solidFill>
              <a:schemeClr val="tx2">
                <a:lumMod val="60000"/>
                <a:lumOff val="40000"/>
              </a:schemeClr>
            </a:solidFill>
            <a:scene3d>
              <a:camera prst="orthographicFront"/>
              <a:lightRig rig="threePt" dir="t"/>
            </a:scene3d>
            <a:sp3d prstMaterial="flat"/>
          </c:spPr>
          <c:invertIfNegative val="0"/>
          <c:cat>
            <c:strRef>
              <c:f>'41.3'!$A$27:$A$36</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'41.3'!$C$27:$C$36</c:f>
              <c:numCache>
                <c:formatCode>General</c:formatCode>
                <c:ptCount val="10"/>
                <c:pt idx="0">
                  <c:v>0</c:v>
                </c:pt>
                <c:pt idx="1">
                  <c:v>52</c:v>
                </c:pt>
                <c:pt idx="2">
                  <c:v>128</c:v>
                </c:pt>
                <c:pt idx="3">
                  <c:v>106</c:v>
                </c:pt>
                <c:pt idx="4">
                  <c:v>67</c:v>
                </c:pt>
                <c:pt idx="5">
                  <c:v>49</c:v>
                </c:pt>
                <c:pt idx="6">
                  <c:v>44</c:v>
                </c:pt>
                <c:pt idx="7">
                  <c:v>32</c:v>
                </c:pt>
                <c:pt idx="8">
                  <c:v>13</c:v>
                </c:pt>
                <c:pt idx="9">
                  <c:v>27</c:v>
                </c:pt>
              </c:numCache>
            </c:numRef>
          </c:val>
        </c:ser>
        <c:ser>
          <c:idx val="0"/>
          <c:order val="1"/>
          <c:tx>
            <c:strRef>
              <c:f>'41.3'!$B$26</c:f>
              <c:strCache>
                <c:ptCount val="1"/>
                <c:pt idx="0">
                  <c:v>إشهادات الطلاق للزوجة
 Wife's Divorces</c:v>
                </c:pt>
              </c:strCache>
            </c:strRef>
          </c:tx>
          <c:spPr>
            <a:solidFill>
              <a:schemeClr val="accent2"/>
            </a:solidFill>
            <a:scene3d>
              <a:camera prst="orthographicFront"/>
              <a:lightRig rig="threePt" dir="t"/>
            </a:scene3d>
            <a:sp3d/>
          </c:spPr>
          <c:invertIfNegative val="0"/>
          <c:cat>
            <c:strRef>
              <c:f>'41.3'!$A$27:$A$36</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'41.3'!$B$27:$B$36</c:f>
              <c:numCache>
                <c:formatCode>General</c:formatCode>
                <c:ptCount val="10"/>
                <c:pt idx="0">
                  <c:v>18</c:v>
                </c:pt>
                <c:pt idx="1">
                  <c:v>120</c:v>
                </c:pt>
                <c:pt idx="2">
                  <c:v>133</c:v>
                </c:pt>
                <c:pt idx="3">
                  <c:v>84</c:v>
                </c:pt>
                <c:pt idx="4">
                  <c:v>72</c:v>
                </c:pt>
                <c:pt idx="5">
                  <c:v>34</c:v>
                </c:pt>
                <c:pt idx="6">
                  <c:v>25</c:v>
                </c:pt>
                <c:pt idx="7">
                  <c:v>16</c:v>
                </c:pt>
                <c:pt idx="8">
                  <c:v>16</c:v>
                </c:pt>
                <c:pt idx="9">
                  <c:v>0</c:v>
                </c:pt>
              </c:numCache>
            </c:numRef>
          </c:val>
        </c:ser>
        <c:dLbls>
          <c:showLegendKey val="0"/>
          <c:showVal val="0"/>
          <c:showCatName val="0"/>
          <c:showSerName val="0"/>
          <c:showPercent val="0"/>
          <c:showBubbleSize val="0"/>
        </c:dLbls>
        <c:gapWidth val="150"/>
        <c:axId val="154505984"/>
        <c:axId val="154507904"/>
      </c:barChart>
      <c:catAx>
        <c:axId val="154505984"/>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Age groups</a:t>
                </a:r>
                <a:r>
                  <a:rPr lang="ar-QA" sz="1200" b="1" i="0" u="none" strike="noStrike" baseline="0">
                    <a:solidFill>
                      <a:srgbClr val="000000"/>
                    </a:solidFill>
                    <a:latin typeface="Calibri"/>
                  </a:rPr>
                  <a:t>الفئات العمرية </a:t>
                </a:r>
              </a:p>
            </c:rich>
          </c:tx>
          <c:layout>
            <c:manualLayout>
              <c:xMode val="edge"/>
              <c:yMode val="edge"/>
              <c:x val="0.42809125049844965"/>
              <c:y val="0.9395667067040212"/>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4507904"/>
        <c:crosses val="autoZero"/>
        <c:auto val="1"/>
        <c:lblAlgn val="ctr"/>
        <c:lblOffset val="100"/>
        <c:noMultiLvlLbl val="0"/>
      </c:catAx>
      <c:valAx>
        <c:axId val="154507904"/>
        <c:scaling>
          <c:orientation val="minMax"/>
        </c:scaling>
        <c:delete val="0"/>
        <c:axPos val="l"/>
        <c:majorGridlines>
          <c:spPr>
            <a:ln w="19050">
              <a:solidFill>
                <a:schemeClr val="bg2"/>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العدد</a:t>
                </a:r>
              </a:p>
              <a:p>
                <a:pPr algn="ctr">
                  <a:defRPr sz="1100" b="0" i="0" u="none" strike="noStrike" baseline="0">
                    <a:solidFill>
                      <a:srgbClr val="000000"/>
                    </a:solidFill>
                    <a:latin typeface="Calibri"/>
                    <a:ea typeface="Calibri"/>
                    <a:cs typeface="Calibri"/>
                  </a:defRPr>
                </a:pPr>
                <a:r>
                  <a:rPr lang="en-US" sz="1200" b="1" i="0" u="none" strike="noStrike" baseline="0">
                    <a:solidFill>
                      <a:srgbClr val="000000"/>
                    </a:solidFill>
                    <a:latin typeface="Calibri"/>
                  </a:rPr>
                  <a:t>No.</a:t>
                </a:r>
              </a:p>
            </c:rich>
          </c:tx>
          <c:layout>
            <c:manualLayout>
              <c:xMode val="edge"/>
              <c:yMode val="edge"/>
              <c:x val="2.5071151820308172E-2"/>
              <c:y val="0.1253525421758396"/>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4505984"/>
        <c:crosses val="autoZero"/>
        <c:crossBetween val="between"/>
      </c:valAx>
    </c:plotArea>
    <c:legend>
      <c:legendPos val="r"/>
      <c:layout>
        <c:manualLayout>
          <c:xMode val="edge"/>
          <c:yMode val="edge"/>
          <c:x val="0.45807774028246967"/>
          <c:y val="0.23390204190577873"/>
          <c:w val="0.45651841138906252"/>
          <c:h val="6.3419191245162154E-2"/>
        </c:manualLayout>
      </c:layout>
      <c:overlay val="0"/>
      <c:spPr>
        <a:solidFill>
          <a:schemeClr val="bg1"/>
        </a:solidFill>
        <a:ln>
          <a:solidFill>
            <a:sysClr val="windowText" lastClr="000000"/>
          </a:solidFill>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1"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ar-QA" sz="1400" b="1" i="0" u="none" strike="noStrike" baseline="0">
                <a:solidFill>
                  <a:srgbClr val="000000"/>
                </a:solidFill>
                <a:latin typeface="Calibri"/>
              </a:rPr>
              <a:t>عدد الأبناء للمطلقة حسب فئة عمرالزوج والزوجة </a:t>
            </a:r>
            <a:endParaRPr lang="en-US" sz="1400" b="1" i="0" u="none" strike="noStrike" baseline="0">
              <a:solidFill>
                <a:srgbClr val="000000"/>
              </a:solidFill>
              <a:latin typeface="Calibri"/>
            </a:endParaRPr>
          </a:p>
          <a:p>
            <a:pPr marL="0" marR="0" indent="0" algn="ctr" defTabSz="914400" rtl="1"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n-US" sz="1200" b="1">
                <a:latin typeface="Arial" pitchFamily="34" charset="0"/>
                <a:cs typeface="Arial" pitchFamily="34" charset="0"/>
              </a:rPr>
              <a:t>NUMBER OF CHILDREN OF DIVORCEE BY AGE GROUP OF HUSBAND AND WIFE</a:t>
            </a:r>
            <a:endParaRPr lang="en-US" sz="1200">
              <a:latin typeface="Arial" pitchFamily="34" charset="0"/>
              <a:cs typeface="Arial" pitchFamily="34" charset="0"/>
            </a:endParaRPr>
          </a:p>
          <a:p>
            <a:pPr marL="0" marR="0" indent="0" algn="ctr" defTabSz="914400" rtl="1"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ar-SA" sz="1200" b="1" i="0" u="none" strike="noStrike" baseline="0">
                <a:solidFill>
                  <a:srgbClr val="000000"/>
                </a:solidFill>
                <a:latin typeface="Arial"/>
                <a:cs typeface="Arial"/>
              </a:rPr>
              <a:t>قطريون  </a:t>
            </a:r>
            <a:r>
              <a:rPr lang="en-US" sz="1200" b="1" i="0" u="none" strike="noStrike" baseline="0">
                <a:solidFill>
                  <a:srgbClr val="000000"/>
                </a:solidFill>
                <a:latin typeface="Arial"/>
                <a:cs typeface="Arial"/>
              </a:rPr>
              <a:t>Qataris</a:t>
            </a:r>
          </a:p>
          <a:p>
            <a:pPr marL="0" marR="0" indent="0" algn="ctr" defTabSz="914400" rtl="1"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2015</a:t>
            </a:r>
          </a:p>
        </c:rich>
      </c:tx>
      <c:layout>
        <c:manualLayout>
          <c:xMode val="edge"/>
          <c:yMode val="edge"/>
          <c:x val="0.17314003749531409"/>
          <c:y val="8.7625026601404546E-3"/>
        </c:manualLayout>
      </c:layout>
      <c:overlay val="0"/>
    </c:title>
    <c:autoTitleDeleted val="0"/>
    <c:plotArea>
      <c:layout>
        <c:manualLayout>
          <c:layoutTarget val="inner"/>
          <c:xMode val="edge"/>
          <c:yMode val="edge"/>
          <c:x val="8.6052763404574434E-2"/>
          <c:y val="0.25250088671348514"/>
          <c:w val="0.89280431946006744"/>
          <c:h val="0.65380063134000144"/>
        </c:manualLayout>
      </c:layout>
      <c:barChart>
        <c:barDir val="col"/>
        <c:grouping val="clustered"/>
        <c:varyColors val="0"/>
        <c:ser>
          <c:idx val="0"/>
          <c:order val="0"/>
          <c:tx>
            <c:strRef>
              <c:f>'42-1'!$B$31</c:f>
              <c:strCache>
                <c:ptCount val="1"/>
                <c:pt idx="0">
                  <c:v>عدد الأبناء للمطلقة حسب فئة عمر الزوجة
Number of children of divorcee by age group of wife</c:v>
                </c:pt>
              </c:strCache>
            </c:strRef>
          </c:tx>
          <c:invertIfNegative val="0"/>
          <c:cat>
            <c:strRef>
              <c:f>'42-1'!$A$32:$A$42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'42-1'!$B$32:$B$42</c:f>
              <c:numCache>
                <c:formatCode>General</c:formatCode>
                <c:ptCount val="11"/>
                <c:pt idx="0" formatCode="0">
                  <c:v>0</c:v>
                </c:pt>
                <c:pt idx="1">
                  <c:v>0</c:v>
                </c:pt>
                <c:pt idx="2">
                  <c:v>16</c:v>
                </c:pt>
                <c:pt idx="3">
                  <c:v>20</c:v>
                </c:pt>
                <c:pt idx="4">
                  <c:v>35</c:v>
                </c:pt>
                <c:pt idx="5">
                  <c:v>20</c:v>
                </c:pt>
                <c:pt idx="6">
                  <c:v>20</c:v>
                </c:pt>
                <c:pt idx="7">
                  <c:v>21</c:v>
                </c:pt>
                <c:pt idx="8">
                  <c:v>7</c:v>
                </c:pt>
                <c:pt idx="9">
                  <c:v>0</c:v>
                </c:pt>
                <c:pt idx="10" formatCode="0">
                  <c:v>0</c:v>
                </c:pt>
              </c:numCache>
            </c:numRef>
          </c:val>
        </c:ser>
        <c:ser>
          <c:idx val="1"/>
          <c:order val="1"/>
          <c:tx>
            <c:strRef>
              <c:f>'42-1'!$C$31</c:f>
              <c:strCache>
                <c:ptCount val="1"/>
                <c:pt idx="0">
                  <c:v>عدد الأبناء للمطلقة حسب فئة عمر الزوج
Number of children of divorcee by age group of husband</c:v>
                </c:pt>
              </c:strCache>
            </c:strRef>
          </c:tx>
          <c:invertIfNegative val="0"/>
          <c:cat>
            <c:strRef>
              <c:f>'42-1'!$A$32:$A$42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'42-1'!$C$32:$C$42</c:f>
              <c:numCache>
                <c:formatCode>General</c:formatCode>
                <c:ptCount val="11"/>
                <c:pt idx="0">
                  <c:v>0</c:v>
                </c:pt>
                <c:pt idx="1">
                  <c:v>0</c:v>
                </c:pt>
                <c:pt idx="2">
                  <c:v>1</c:v>
                </c:pt>
                <c:pt idx="3">
                  <c:v>5</c:v>
                </c:pt>
                <c:pt idx="4">
                  <c:v>8</c:v>
                </c:pt>
                <c:pt idx="5">
                  <c:v>20</c:v>
                </c:pt>
                <c:pt idx="6">
                  <c:v>17</c:v>
                </c:pt>
                <c:pt idx="7">
                  <c:v>38</c:v>
                </c:pt>
                <c:pt idx="8">
                  <c:v>12</c:v>
                </c:pt>
                <c:pt idx="9">
                  <c:v>38</c:v>
                </c:pt>
                <c:pt idx="10">
                  <c:v>0</c:v>
                </c:pt>
              </c:numCache>
            </c:numRef>
          </c:val>
        </c:ser>
        <c:dLbls>
          <c:showLegendKey val="0"/>
          <c:showVal val="0"/>
          <c:showCatName val="0"/>
          <c:showSerName val="0"/>
          <c:showPercent val="0"/>
          <c:showBubbleSize val="0"/>
        </c:dLbls>
        <c:gapWidth val="150"/>
        <c:axId val="159946624"/>
        <c:axId val="159952896"/>
      </c:barChart>
      <c:catAx>
        <c:axId val="159946624"/>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ysClr val="windowText" lastClr="000000"/>
                    </a:solidFill>
                    <a:latin typeface="Calibri"/>
                    <a:ea typeface="Calibri"/>
                    <a:cs typeface="Calibri"/>
                  </a:defRPr>
                </a:pPr>
                <a:r>
                  <a:rPr lang="en-US" sz="1200" b="1" i="0" u="none" strike="noStrike" baseline="0">
                    <a:solidFill>
                      <a:sysClr val="windowText" lastClr="000000"/>
                    </a:solidFill>
                    <a:latin typeface="Calibri"/>
                  </a:rPr>
                  <a:t>Age groups</a:t>
                </a:r>
                <a:r>
                  <a:rPr lang="ar-QA" sz="1200" b="1" i="0" u="none" strike="noStrike" baseline="0">
                    <a:solidFill>
                      <a:sysClr val="windowText" lastClr="000000"/>
                    </a:solidFill>
                    <a:latin typeface="Calibri"/>
                  </a:rPr>
                  <a:t>الفئات العمرية </a:t>
                </a:r>
              </a:p>
            </c:rich>
          </c:tx>
          <c:layout>
            <c:manualLayout>
              <c:xMode val="edge"/>
              <c:yMode val="edge"/>
              <c:x val="0.49583642902426001"/>
              <c:y val="0.95561112293395767"/>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9952896"/>
        <c:crosses val="autoZero"/>
        <c:auto val="1"/>
        <c:lblAlgn val="ctr"/>
        <c:lblOffset val="100"/>
        <c:noMultiLvlLbl val="0"/>
      </c:catAx>
      <c:valAx>
        <c:axId val="159952896"/>
        <c:scaling>
          <c:orientation val="minMax"/>
        </c:scaling>
        <c:delete val="0"/>
        <c:axPos val="l"/>
        <c:majorGridlines>
          <c:spPr>
            <a:ln w="19050">
              <a:solidFill>
                <a:schemeClr val="bg1">
                  <a:lumMod val="85000"/>
                </a:schemeClr>
              </a:solidFill>
            </a:ln>
          </c:spPr>
        </c:majorGridlines>
        <c:title>
          <c:tx>
            <c:rich>
              <a:bodyPr rot="0" vert="horz"/>
              <a:lstStyle/>
              <a:p>
                <a:pPr>
                  <a:defRPr sz="1100" b="0" i="0" u="none" strike="noStrike" baseline="0">
                    <a:solidFill>
                      <a:srgbClr val="000000"/>
                    </a:solidFill>
                    <a:latin typeface="Calibri"/>
                    <a:ea typeface="Calibri"/>
                    <a:cs typeface="Calibri"/>
                  </a:defRPr>
                </a:pPr>
                <a:r>
                  <a:rPr lang="ar-QA" sz="1200" b="1" i="0" u="none" strike="noStrike" baseline="0">
                    <a:solidFill>
                      <a:srgbClr val="333399"/>
                    </a:solidFill>
                    <a:latin typeface="Calibri"/>
                  </a:rPr>
                  <a:t>العدد</a:t>
                </a:r>
              </a:p>
              <a:p>
                <a:pPr>
                  <a:defRPr sz="1100" b="0" i="0" u="none" strike="noStrike" baseline="0">
                    <a:solidFill>
                      <a:srgbClr val="000000"/>
                    </a:solidFill>
                    <a:latin typeface="Calibri"/>
                    <a:ea typeface="Calibri"/>
                    <a:cs typeface="Calibri"/>
                  </a:defRPr>
                </a:pPr>
                <a:r>
                  <a:rPr lang="en-US" sz="1200" b="1" i="0" u="none" strike="noStrike" baseline="0">
                    <a:solidFill>
                      <a:srgbClr val="333399"/>
                    </a:solidFill>
                    <a:latin typeface="Calibri"/>
                  </a:rPr>
                  <a:t>Number</a:t>
                </a:r>
                <a:endParaRPr lang="ar-QA" sz="1200" b="1" i="0" u="none" strike="noStrike" baseline="0">
                  <a:solidFill>
                    <a:srgbClr val="333399"/>
                  </a:solidFill>
                  <a:latin typeface="Calibri"/>
                </a:endParaRPr>
              </a:p>
            </c:rich>
          </c:tx>
          <c:layout>
            <c:manualLayout>
              <c:xMode val="edge"/>
              <c:yMode val="edge"/>
              <c:x val="1.3600779902512185E-2"/>
              <c:y val="0.14736291409519756"/>
            </c:manualLayout>
          </c:layout>
          <c:overlay val="0"/>
        </c:title>
        <c:numFmt formatCode="0"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9946624"/>
        <c:crosses val="autoZero"/>
        <c:crossBetween val="between"/>
      </c:valAx>
    </c:plotArea>
    <c:legend>
      <c:legendPos val="r"/>
      <c:layout>
        <c:manualLayout>
          <c:xMode val="edge"/>
          <c:yMode val="edge"/>
          <c:x val="8.7581012373453324E-2"/>
          <c:y val="0.15447453358870683"/>
          <c:w val="0.86012112485939263"/>
          <c:h val="0.10660282329573668"/>
        </c:manualLayout>
      </c:layout>
      <c:overlay val="1"/>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متوسط العمر عند أول زواج (قطريون)  </a:t>
            </a:r>
            <a:endParaRPr lang="ar-QA" sz="1200" b="1" i="0" u="none" strike="noStrike" baseline="0">
              <a:solidFill>
                <a:srgbClr val="000000"/>
              </a:solidFill>
              <a:latin typeface="Calibri"/>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pitchFamily="34" charset="0"/>
                <a:cs typeface="Arial" pitchFamily="34" charset="0"/>
              </a:rPr>
              <a:t>AVERAGE AGE AT FIRST MARRIAGE</a:t>
            </a:r>
            <a:r>
              <a:rPr lang="ar-QA" sz="1200" b="1" i="0" u="none" strike="noStrike" baseline="0">
                <a:solidFill>
                  <a:srgbClr val="000000"/>
                </a:solidFill>
                <a:latin typeface="Arial" pitchFamily="34" charset="0"/>
                <a:cs typeface="Arial" pitchFamily="34" charset="0"/>
              </a:rPr>
              <a:t> </a:t>
            </a:r>
            <a:r>
              <a:rPr lang="en-US" sz="1200" b="1" i="0" u="none" strike="noStrike" baseline="0">
                <a:solidFill>
                  <a:srgbClr val="000000"/>
                </a:solidFill>
                <a:latin typeface="Arial" pitchFamily="34" charset="0"/>
                <a:cs typeface="Arial" pitchFamily="34" charset="0"/>
              </a:rPr>
              <a:t>(QATARIS)</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pitchFamily="34" charset="0"/>
                <a:cs typeface="Arial" pitchFamily="34" charset="0"/>
              </a:rPr>
              <a:t>2006 - 2015</a:t>
            </a:r>
          </a:p>
        </c:rich>
      </c:tx>
      <c:layout>
        <c:manualLayout>
          <c:xMode val="edge"/>
          <c:yMode val="edge"/>
          <c:x val="0.32012850088655265"/>
          <c:y val="5.7484525664238534E-3"/>
        </c:manualLayout>
      </c:layout>
      <c:overlay val="0"/>
      <c:spPr>
        <a:noFill/>
        <a:ln w="25400">
          <a:noFill/>
        </a:ln>
      </c:spPr>
    </c:title>
    <c:autoTitleDeleted val="0"/>
    <c:plotArea>
      <c:layout>
        <c:manualLayout>
          <c:layoutTarget val="inner"/>
          <c:xMode val="edge"/>
          <c:yMode val="edge"/>
          <c:x val="7.0098568187451152E-2"/>
          <c:y val="0.16261239043233397"/>
          <c:w val="0.92389259034928362"/>
          <c:h val="0.75801136879747955"/>
        </c:manualLayout>
      </c:layout>
      <c:barChart>
        <c:barDir val="col"/>
        <c:grouping val="clustered"/>
        <c:varyColors val="0"/>
        <c:ser>
          <c:idx val="1"/>
          <c:order val="0"/>
          <c:tx>
            <c:strRef>
              <c:f>'3'!$C$7</c:f>
              <c:strCache>
                <c:ptCount val="1"/>
                <c:pt idx="0">
                  <c:v>إناث
Females</c:v>
                </c:pt>
              </c:strCache>
            </c:strRef>
          </c:tx>
          <c:spPr>
            <a:solidFill>
              <a:schemeClr val="accent2"/>
            </a:solidFill>
            <a:scene3d>
              <a:camera prst="orthographicFront"/>
              <a:lightRig rig="threePt" dir="t"/>
            </a:scene3d>
            <a:sp3d/>
          </c:spPr>
          <c:invertIfNegative val="0"/>
          <c:cat>
            <c:numRef>
              <c:f>'3'!$F$8:$F$17</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'3'!$C$8:$C$17</c:f>
              <c:numCache>
                <c:formatCode>0.0</c:formatCode>
                <c:ptCount val="10"/>
                <c:pt idx="0">
                  <c:v>23.6</c:v>
                </c:pt>
                <c:pt idx="1">
                  <c:v>23.7</c:v>
                </c:pt>
                <c:pt idx="2">
                  <c:v>23.6</c:v>
                </c:pt>
                <c:pt idx="3">
                  <c:v>23.9</c:v>
                </c:pt>
                <c:pt idx="4">
                  <c:v>23.9</c:v>
                </c:pt>
                <c:pt idx="5">
                  <c:v>24.1</c:v>
                </c:pt>
                <c:pt idx="6">
                  <c:v>23.02741358760429</c:v>
                </c:pt>
                <c:pt idx="7">
                  <c:v>23.5</c:v>
                </c:pt>
                <c:pt idx="8">
                  <c:v>24.1</c:v>
                </c:pt>
                <c:pt idx="9">
                  <c:v>23.829462102689487</c:v>
                </c:pt>
              </c:numCache>
            </c:numRef>
          </c:val>
        </c:ser>
        <c:ser>
          <c:idx val="0"/>
          <c:order val="1"/>
          <c:tx>
            <c:strRef>
              <c:f>'3'!$B$7</c:f>
              <c:strCache>
                <c:ptCount val="1"/>
                <c:pt idx="0">
                  <c:v>ذكور 
Males</c:v>
                </c:pt>
              </c:strCache>
            </c:strRef>
          </c:tx>
          <c:spPr>
            <a:solidFill>
              <a:schemeClr val="tx2">
                <a:lumMod val="60000"/>
                <a:lumOff val="40000"/>
              </a:schemeClr>
            </a:solidFill>
            <a:scene3d>
              <a:camera prst="orthographicFront"/>
              <a:lightRig rig="threePt" dir="t"/>
            </a:scene3d>
            <a:sp3d/>
          </c:spPr>
          <c:invertIfNegative val="0"/>
          <c:cat>
            <c:numRef>
              <c:f>'3'!$F$8:$F$17</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'3'!$B$8:$B$17</c:f>
              <c:numCache>
                <c:formatCode>0.0</c:formatCode>
                <c:ptCount val="10"/>
                <c:pt idx="0">
                  <c:v>26.4</c:v>
                </c:pt>
                <c:pt idx="1">
                  <c:v>26.6</c:v>
                </c:pt>
                <c:pt idx="2">
                  <c:v>26.5</c:v>
                </c:pt>
                <c:pt idx="3">
                  <c:v>26.7</c:v>
                </c:pt>
                <c:pt idx="4">
                  <c:v>26.5</c:v>
                </c:pt>
                <c:pt idx="5">
                  <c:v>26.7</c:v>
                </c:pt>
                <c:pt idx="6">
                  <c:v>26.174934725848566</c:v>
                </c:pt>
                <c:pt idx="7">
                  <c:v>26.1</c:v>
                </c:pt>
                <c:pt idx="8">
                  <c:v>26.5</c:v>
                </c:pt>
                <c:pt idx="9">
                  <c:v>26.254914809960681</c:v>
                </c:pt>
              </c:numCache>
            </c:numRef>
          </c:val>
        </c:ser>
        <c:dLbls>
          <c:showLegendKey val="0"/>
          <c:showVal val="0"/>
          <c:showCatName val="0"/>
          <c:showSerName val="0"/>
          <c:showPercent val="0"/>
          <c:showBubbleSize val="0"/>
        </c:dLbls>
        <c:gapWidth val="150"/>
        <c:axId val="171344640"/>
        <c:axId val="171346176"/>
      </c:barChart>
      <c:catAx>
        <c:axId val="171344640"/>
        <c:scaling>
          <c:orientation val="minMax"/>
        </c:scaling>
        <c:delete val="0"/>
        <c:axPos val="b"/>
        <c:majorGridlines>
          <c:spPr>
            <a:ln w="19050">
              <a:solidFill>
                <a:schemeClr val="bg1">
                  <a:lumMod val="85000"/>
                </a:schemeClr>
              </a:solidFill>
              <a:prstDash val="sysDot"/>
            </a:ln>
          </c:spPr>
        </c:majorGridlines>
        <c:numFmt formatCode="General" sourceLinked="1"/>
        <c:majorTickMark val="out"/>
        <c:minorTickMark val="none"/>
        <c:tickLblPos val="nextTo"/>
        <c:txPr>
          <a:bodyPr rot="0" vert="horz"/>
          <a:lstStyle/>
          <a:p>
            <a:pPr rtl="0">
              <a:defRPr sz="1000" b="1" i="0" u="none" strike="noStrike" baseline="0">
                <a:solidFill>
                  <a:sysClr val="windowText" lastClr="000000"/>
                </a:solidFill>
                <a:latin typeface="Arial"/>
                <a:ea typeface="Arial"/>
                <a:cs typeface="Arial"/>
              </a:defRPr>
            </a:pPr>
            <a:endParaRPr lang="en-US"/>
          </a:p>
        </c:txPr>
        <c:crossAx val="171346176"/>
        <c:crosses val="autoZero"/>
        <c:auto val="1"/>
        <c:lblAlgn val="ctr"/>
        <c:lblOffset val="100"/>
        <c:tickLblSkip val="1"/>
        <c:tickMarkSkip val="1"/>
        <c:noMultiLvlLbl val="0"/>
      </c:catAx>
      <c:valAx>
        <c:axId val="171346176"/>
        <c:scaling>
          <c:orientation val="minMax"/>
        </c:scaling>
        <c:delete val="0"/>
        <c:axPos val="l"/>
        <c:majorGridlines>
          <c:spPr>
            <a:ln w="190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cs typeface="+mn-cs"/>
                  </a:rPr>
                  <a:t>المعدل</a:t>
                </a:r>
              </a:p>
              <a:p>
                <a:pPr algn="ct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pitchFamily="34" charset="0"/>
                    <a:cs typeface="Arial" pitchFamily="34" charset="0"/>
                  </a:rPr>
                  <a:t>Rate</a:t>
                </a:r>
              </a:p>
            </c:rich>
          </c:tx>
          <c:layout>
            <c:manualLayout>
              <c:xMode val="edge"/>
              <c:yMode val="edge"/>
              <c:x val="1.4667658068165553E-2"/>
              <c:y val="5.4411460599510922E-2"/>
            </c:manualLayout>
          </c:layout>
          <c:overlay val="0"/>
          <c:spPr>
            <a:noFill/>
            <a:ln w="25400">
              <a:noFill/>
            </a:ln>
          </c:spPr>
        </c:title>
        <c:numFmt formatCode="0.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71344640"/>
        <c:crosses val="autoZero"/>
        <c:crossBetween val="between"/>
      </c:valAx>
      <c:spPr>
        <a:noFill/>
        <a:ln w="25400">
          <a:noFill/>
        </a:ln>
      </c:spPr>
    </c:plotArea>
    <c:legend>
      <c:legendPos val="r"/>
      <c:layout>
        <c:manualLayout>
          <c:xMode val="edge"/>
          <c:yMode val="edge"/>
          <c:x val="0.10087777163447788"/>
          <c:y val="9.1772378720040265E-2"/>
          <c:w val="0.21718632628548548"/>
          <c:h val="7.4138887719249022E-2"/>
        </c:manualLayout>
      </c:layout>
      <c:overlay val="0"/>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39370078740157488" header="0.30000000000000032" footer="0.30000000000000032"/>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mn-cs"/>
              </a:defRPr>
            </a:pPr>
            <a:r>
              <a:rPr lang="ar-QA" sz="1400" b="1" i="0" baseline="0">
                <a:cs typeface="+mn-cs"/>
              </a:rPr>
              <a:t>عدد الأبناء للمطلقة حسب فئة عمرالزوج والزوجة </a:t>
            </a:r>
            <a:endParaRPr lang="en-US" sz="1400" b="1" i="0" baseline="0">
              <a:cs typeface="+mn-cs"/>
            </a:endParaRPr>
          </a:p>
          <a:p>
            <a:pPr>
              <a:defRPr sz="1000" b="0" i="0" u="none" strike="noStrike" baseline="0">
                <a:solidFill>
                  <a:srgbClr val="000000"/>
                </a:solidFill>
                <a:latin typeface="Calibri"/>
                <a:ea typeface="Calibri"/>
                <a:cs typeface="+mn-cs"/>
              </a:defRPr>
            </a:pPr>
            <a:r>
              <a:rPr lang="en-US" sz="1200" b="1" i="0" baseline="0">
                <a:latin typeface="Arial" pitchFamily="34" charset="0"/>
                <a:cs typeface="Arial" pitchFamily="34" charset="0"/>
              </a:rPr>
              <a:t>NUMBER OF CHILDREN OF DIVORCEE BY AGE GROUP OF HUSBAND AND WIFE</a:t>
            </a:r>
            <a:endParaRPr lang="en-US" sz="1200" b="0" i="0" baseline="0">
              <a:latin typeface="Arial" pitchFamily="34" charset="0"/>
              <a:cs typeface="Arial" pitchFamily="34" charset="0"/>
            </a:endParaRPr>
          </a:p>
          <a:p>
            <a:pPr>
              <a:defRPr sz="1000" b="0" i="0" u="none" strike="noStrike" baseline="0">
                <a:solidFill>
                  <a:srgbClr val="000000"/>
                </a:solidFill>
                <a:latin typeface="Calibri"/>
                <a:ea typeface="Calibri"/>
                <a:cs typeface="+mn-cs"/>
              </a:defRPr>
            </a:pPr>
            <a:r>
              <a:rPr lang="ar-SA" sz="1200" b="1" i="0" baseline="0">
                <a:cs typeface="+mn-cs"/>
              </a:rPr>
              <a:t>غير قطريين </a:t>
            </a:r>
            <a:r>
              <a:rPr lang="en-US" sz="1200" b="1" i="0" baseline="0">
                <a:latin typeface="Arial" pitchFamily="34" charset="0"/>
                <a:cs typeface="Arial" pitchFamily="34" charset="0"/>
              </a:rPr>
              <a:t>Non-Qataris</a:t>
            </a:r>
            <a:endParaRPr lang="en-US" sz="1200">
              <a:latin typeface="Arial" pitchFamily="34" charset="0"/>
              <a:cs typeface="Arial" pitchFamily="34" charset="0"/>
            </a:endParaRPr>
          </a:p>
          <a:p>
            <a:pPr>
              <a:defRPr sz="1000" b="0" i="0" u="none" strike="noStrike" baseline="0">
                <a:solidFill>
                  <a:srgbClr val="000000"/>
                </a:solidFill>
                <a:latin typeface="Calibri"/>
                <a:ea typeface="Calibri"/>
                <a:cs typeface="+mn-cs"/>
              </a:defRPr>
            </a:pPr>
            <a:r>
              <a:rPr lang="en-US" sz="1200" b="1" i="0" baseline="0">
                <a:latin typeface="Arial" pitchFamily="34" charset="0"/>
                <a:cs typeface="Arial" pitchFamily="34" charset="0"/>
              </a:rPr>
              <a:t>2015</a:t>
            </a:r>
            <a:endParaRPr lang="en-US" sz="1200">
              <a:latin typeface="Arial" pitchFamily="34" charset="0"/>
              <a:cs typeface="Arial" pitchFamily="34" charset="0"/>
            </a:endParaRPr>
          </a:p>
        </c:rich>
      </c:tx>
      <c:layout>
        <c:manualLayout>
          <c:xMode val="edge"/>
          <c:yMode val="edge"/>
          <c:x val="0.19294956130483693"/>
          <c:y val="6.5102504078882123E-3"/>
        </c:manualLayout>
      </c:layout>
      <c:overlay val="0"/>
    </c:title>
    <c:autoTitleDeleted val="0"/>
    <c:plotArea>
      <c:layout>
        <c:manualLayout>
          <c:layoutTarget val="inner"/>
          <c:xMode val="edge"/>
          <c:yMode val="edge"/>
          <c:x val="7.5386096737907762E-2"/>
          <c:y val="0.23898737319997163"/>
          <c:w val="0.89280431946006744"/>
          <c:h val="0.66956639710576715"/>
        </c:manualLayout>
      </c:layout>
      <c:barChart>
        <c:barDir val="col"/>
        <c:grouping val="clustered"/>
        <c:varyColors val="0"/>
        <c:ser>
          <c:idx val="0"/>
          <c:order val="0"/>
          <c:tx>
            <c:strRef>
              <c:f>'42-2'!$B$31</c:f>
              <c:strCache>
                <c:ptCount val="1"/>
                <c:pt idx="0">
                  <c:v>عدد الأبناء للمطلقة حسب فئة عمر الزوجة
Number of children of divorcee by age group of wife</c:v>
                </c:pt>
              </c:strCache>
            </c:strRef>
          </c:tx>
          <c:invertIfNegative val="0"/>
          <c:cat>
            <c:strRef>
              <c:f>'42-2'!$A$32:$A$42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'42-2'!$B$32:$B$42</c:f>
              <c:numCache>
                <c:formatCode>General</c:formatCode>
                <c:ptCount val="11"/>
                <c:pt idx="0">
                  <c:v>0</c:v>
                </c:pt>
                <c:pt idx="1">
                  <c:v>2</c:v>
                </c:pt>
                <c:pt idx="2">
                  <c:v>22</c:v>
                </c:pt>
                <c:pt idx="3">
                  <c:v>23</c:v>
                </c:pt>
                <c:pt idx="4">
                  <c:v>20</c:v>
                </c:pt>
                <c:pt idx="5">
                  <c:v>27</c:v>
                </c:pt>
                <c:pt idx="6">
                  <c:v>8</c:v>
                </c:pt>
                <c:pt idx="7">
                  <c:v>0</c:v>
                </c:pt>
                <c:pt idx="8">
                  <c:v>0</c:v>
                </c:pt>
                <c:pt idx="9">
                  <c:v>0</c:v>
                </c:pt>
                <c:pt idx="10" formatCode="0">
                  <c:v>0</c:v>
                </c:pt>
              </c:numCache>
            </c:numRef>
          </c:val>
        </c:ser>
        <c:ser>
          <c:idx val="1"/>
          <c:order val="1"/>
          <c:tx>
            <c:strRef>
              <c:f>'42-2'!$C$31</c:f>
              <c:strCache>
                <c:ptCount val="1"/>
                <c:pt idx="0">
                  <c:v>عدد الأبناء للمطلقة حسب فئة عمر الزوج
Number of children of divorcee by age group of husband</c:v>
                </c:pt>
              </c:strCache>
            </c:strRef>
          </c:tx>
          <c:invertIfNegative val="0"/>
          <c:cat>
            <c:strRef>
              <c:f>'42-2'!$A$32:$A$42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'42-2'!$C$32:$C$42</c:f>
              <c:numCache>
                <c:formatCode>General</c:formatCode>
                <c:ptCount val="11"/>
                <c:pt idx="0">
                  <c:v>0</c:v>
                </c:pt>
                <c:pt idx="1">
                  <c:v>0</c:v>
                </c:pt>
                <c:pt idx="2">
                  <c:v>0</c:v>
                </c:pt>
                <c:pt idx="3">
                  <c:v>6</c:v>
                </c:pt>
                <c:pt idx="4">
                  <c:v>11</c:v>
                </c:pt>
                <c:pt idx="5">
                  <c:v>14</c:v>
                </c:pt>
                <c:pt idx="6">
                  <c:v>44</c:v>
                </c:pt>
                <c:pt idx="7">
                  <c:v>8</c:v>
                </c:pt>
                <c:pt idx="8">
                  <c:v>4</c:v>
                </c:pt>
                <c:pt idx="9">
                  <c:v>15</c:v>
                </c:pt>
                <c:pt idx="10">
                  <c:v>0</c:v>
                </c:pt>
              </c:numCache>
            </c:numRef>
          </c:val>
        </c:ser>
        <c:dLbls>
          <c:showLegendKey val="0"/>
          <c:showVal val="0"/>
          <c:showCatName val="0"/>
          <c:showSerName val="0"/>
          <c:showPercent val="0"/>
          <c:showBubbleSize val="0"/>
        </c:dLbls>
        <c:gapWidth val="150"/>
        <c:axId val="159120000"/>
        <c:axId val="160371456"/>
      </c:barChart>
      <c:catAx>
        <c:axId val="159120000"/>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ysClr val="windowText" lastClr="000000"/>
                    </a:solidFill>
                    <a:latin typeface="Calibri"/>
                    <a:ea typeface="Calibri"/>
                    <a:cs typeface="Calibri"/>
                  </a:defRPr>
                </a:pPr>
                <a:r>
                  <a:rPr lang="en-US" sz="1200" b="1" i="0" u="none" strike="noStrike" baseline="0">
                    <a:solidFill>
                      <a:sysClr val="windowText" lastClr="000000"/>
                    </a:solidFill>
                    <a:latin typeface="Calibri"/>
                  </a:rPr>
                  <a:t>Age groups</a:t>
                </a:r>
                <a:r>
                  <a:rPr lang="ar-QA" sz="1200" b="1" i="0" u="none" strike="noStrike" baseline="0">
                    <a:solidFill>
                      <a:sysClr val="windowText" lastClr="000000"/>
                    </a:solidFill>
                    <a:latin typeface="Calibri"/>
                  </a:rPr>
                  <a:t>الفئات العمرية </a:t>
                </a:r>
              </a:p>
            </c:rich>
          </c:tx>
          <c:layout>
            <c:manualLayout>
              <c:xMode val="edge"/>
              <c:yMode val="edge"/>
              <c:x val="0.49583642902426023"/>
              <c:y val="0.95561112293395767"/>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60371456"/>
        <c:crosses val="autoZero"/>
        <c:auto val="1"/>
        <c:lblAlgn val="ctr"/>
        <c:lblOffset val="100"/>
        <c:noMultiLvlLbl val="0"/>
      </c:catAx>
      <c:valAx>
        <c:axId val="160371456"/>
        <c:scaling>
          <c:orientation val="minMax"/>
        </c:scaling>
        <c:delete val="0"/>
        <c:axPos val="l"/>
        <c:majorGridlines>
          <c:spPr>
            <a:ln w="19050">
              <a:solidFill>
                <a:schemeClr val="bg1">
                  <a:lumMod val="85000"/>
                </a:schemeClr>
              </a:solidFill>
            </a:ln>
          </c:spPr>
        </c:majorGridlines>
        <c:title>
          <c:tx>
            <c:rich>
              <a:bodyPr rot="0" vert="horz"/>
              <a:lstStyle/>
              <a:p>
                <a:pPr>
                  <a:defRPr sz="1100" b="0" i="0" u="none" strike="noStrike" baseline="0">
                    <a:solidFill>
                      <a:srgbClr val="000000"/>
                    </a:solidFill>
                    <a:latin typeface="Calibri"/>
                    <a:ea typeface="Calibri"/>
                    <a:cs typeface="Calibri"/>
                  </a:defRPr>
                </a:pPr>
                <a:r>
                  <a:rPr lang="ar-QA" sz="1200" b="1" i="0" u="none" strike="noStrike" baseline="0">
                    <a:solidFill>
                      <a:srgbClr val="333399"/>
                    </a:solidFill>
                    <a:latin typeface="Calibri"/>
                  </a:rPr>
                  <a:t>العدد</a:t>
                </a:r>
              </a:p>
              <a:p>
                <a:pPr>
                  <a:defRPr sz="1100" b="0" i="0" u="none" strike="noStrike" baseline="0">
                    <a:solidFill>
                      <a:srgbClr val="000000"/>
                    </a:solidFill>
                    <a:latin typeface="Calibri"/>
                    <a:ea typeface="Calibri"/>
                    <a:cs typeface="Calibri"/>
                  </a:defRPr>
                </a:pPr>
                <a:r>
                  <a:rPr lang="en-US" sz="1200" b="1" i="0" u="none" strike="noStrike" baseline="0">
                    <a:solidFill>
                      <a:srgbClr val="333399"/>
                    </a:solidFill>
                    <a:latin typeface="Calibri"/>
                  </a:rPr>
                  <a:t>Number</a:t>
                </a:r>
                <a:endParaRPr lang="ar-QA" sz="1200" b="1" i="0" u="none" strike="noStrike" baseline="0">
                  <a:solidFill>
                    <a:srgbClr val="333399"/>
                  </a:solidFill>
                  <a:latin typeface="Calibri"/>
                </a:endParaRPr>
              </a:p>
            </c:rich>
          </c:tx>
          <c:layout>
            <c:manualLayout>
              <c:xMode val="edge"/>
              <c:yMode val="edge"/>
              <c:x val="1.2076970378702662E-2"/>
              <c:y val="0.14285840959069304"/>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9120000"/>
        <c:crosses val="autoZero"/>
        <c:crossBetween val="between"/>
      </c:valAx>
    </c:plotArea>
    <c:legend>
      <c:legendPos val="r"/>
      <c:layout>
        <c:manualLayout>
          <c:xMode val="edge"/>
          <c:yMode val="edge"/>
          <c:x val="7.8438155230596149E-2"/>
          <c:y val="0.16798804710222034"/>
          <c:w val="0.8860258867641545"/>
          <c:h val="7.5071291764205142E-2"/>
        </c:manualLayout>
      </c:layout>
      <c:overlay val="0"/>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43" l="0.70000000000000062" r="0.70000000000000062" t="0.75000000000001243" header="0.30000000000000032" footer="0.30000000000000032"/>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عدد الأبناء للمطلقة حسب فئة عمرالزوج والزوجة </a:t>
            </a:r>
            <a:endParaRPr lang="en-US" sz="1400" b="1" i="0" u="none" strike="noStrike" baseline="0">
              <a:solidFill>
                <a:srgbClr val="000000"/>
              </a:solidFill>
              <a:latin typeface="Calibri"/>
            </a:endParaRPr>
          </a:p>
          <a:p>
            <a:pPr>
              <a:defRPr sz="1000" b="0" i="0" u="none" strike="noStrike" baseline="0">
                <a:solidFill>
                  <a:srgbClr val="000000"/>
                </a:solidFill>
                <a:latin typeface="Calibri"/>
                <a:ea typeface="Calibri"/>
                <a:cs typeface="Calibri"/>
              </a:defRPr>
            </a:pPr>
            <a:r>
              <a:rPr lang="en-US" sz="1200" b="1" i="0" baseline="0"/>
              <a:t>NUMBER OF CHILDREN OF DIVORCEE BY AGE GROUP OF HUSBAND AND WIFE</a:t>
            </a:r>
            <a:endParaRPr lang="en-US" sz="1200" b="0" i="0" baseline="0"/>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المجموع  </a:t>
            </a:r>
            <a:r>
              <a:rPr lang="en-US" sz="1200" b="1" i="0" u="none" strike="noStrike" baseline="0">
                <a:solidFill>
                  <a:srgbClr val="000000"/>
                </a:solidFill>
                <a:latin typeface="Arial"/>
                <a:cs typeface="Arial"/>
              </a:rPr>
              <a:t>Total</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2015</a:t>
            </a:r>
          </a:p>
        </c:rich>
      </c:tx>
      <c:layout>
        <c:manualLayout>
          <c:xMode val="edge"/>
          <c:yMode val="edge"/>
          <c:x val="0.19294956130483693"/>
          <c:y val="6.5102504078882123E-3"/>
        </c:manualLayout>
      </c:layout>
      <c:overlay val="0"/>
    </c:title>
    <c:autoTitleDeleted val="0"/>
    <c:plotArea>
      <c:layout>
        <c:manualLayout>
          <c:layoutTarget val="inner"/>
          <c:xMode val="edge"/>
          <c:yMode val="edge"/>
          <c:x val="7.8433728515312578E-2"/>
          <c:y val="0.22772611193871037"/>
          <c:w val="0.89128050993625796"/>
          <c:h val="0.67857540611477618"/>
        </c:manualLayout>
      </c:layout>
      <c:barChart>
        <c:barDir val="col"/>
        <c:grouping val="clustered"/>
        <c:varyColors val="0"/>
        <c:ser>
          <c:idx val="0"/>
          <c:order val="0"/>
          <c:tx>
            <c:strRef>
              <c:f>'42-3'!$B$31</c:f>
              <c:strCache>
                <c:ptCount val="1"/>
                <c:pt idx="0">
                  <c:v>عدد الأبناء للمطلقة حسب فئة عمر الزوجة
Number of children of divorcee by age group of wife</c:v>
                </c:pt>
              </c:strCache>
            </c:strRef>
          </c:tx>
          <c:invertIfNegative val="0"/>
          <c:cat>
            <c:strRef>
              <c:f>'42-3'!$A$32:$A$42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'42-3'!$B$32:$B$42</c:f>
              <c:numCache>
                <c:formatCode>General</c:formatCode>
                <c:ptCount val="11"/>
                <c:pt idx="0">
                  <c:v>0</c:v>
                </c:pt>
                <c:pt idx="1">
                  <c:v>2</c:v>
                </c:pt>
                <c:pt idx="2">
                  <c:v>38</c:v>
                </c:pt>
                <c:pt idx="3">
                  <c:v>43</c:v>
                </c:pt>
                <c:pt idx="4">
                  <c:v>55</c:v>
                </c:pt>
                <c:pt idx="5">
                  <c:v>47</c:v>
                </c:pt>
                <c:pt idx="6">
                  <c:v>28</c:v>
                </c:pt>
                <c:pt idx="7">
                  <c:v>21</c:v>
                </c:pt>
                <c:pt idx="8">
                  <c:v>7</c:v>
                </c:pt>
                <c:pt idx="9">
                  <c:v>0</c:v>
                </c:pt>
                <c:pt idx="10" formatCode="0">
                  <c:v>0</c:v>
                </c:pt>
              </c:numCache>
            </c:numRef>
          </c:val>
        </c:ser>
        <c:ser>
          <c:idx val="1"/>
          <c:order val="1"/>
          <c:tx>
            <c:strRef>
              <c:f>'42-3'!$C$31</c:f>
              <c:strCache>
                <c:ptCount val="1"/>
                <c:pt idx="0">
                  <c:v>عدد الأبناء للمطلقة حسب فئة عمر الزوج
Number of children of divorcee by age group of husband</c:v>
                </c:pt>
              </c:strCache>
            </c:strRef>
          </c:tx>
          <c:invertIfNegative val="0"/>
          <c:cat>
            <c:strRef>
              <c:f>'42-3'!$A$32:$A$42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'42-3'!$C$32:$C$42</c:f>
              <c:numCache>
                <c:formatCode>General</c:formatCode>
                <c:ptCount val="11"/>
                <c:pt idx="0">
                  <c:v>0</c:v>
                </c:pt>
                <c:pt idx="1">
                  <c:v>0</c:v>
                </c:pt>
                <c:pt idx="2">
                  <c:v>1</c:v>
                </c:pt>
                <c:pt idx="3">
                  <c:v>11</c:v>
                </c:pt>
                <c:pt idx="4">
                  <c:v>19</c:v>
                </c:pt>
                <c:pt idx="5">
                  <c:v>34</c:v>
                </c:pt>
                <c:pt idx="6">
                  <c:v>61</c:v>
                </c:pt>
                <c:pt idx="7">
                  <c:v>46</c:v>
                </c:pt>
                <c:pt idx="8">
                  <c:v>16</c:v>
                </c:pt>
                <c:pt idx="9">
                  <c:v>53</c:v>
                </c:pt>
                <c:pt idx="10">
                  <c:v>0</c:v>
                </c:pt>
              </c:numCache>
            </c:numRef>
          </c:val>
        </c:ser>
        <c:dLbls>
          <c:showLegendKey val="0"/>
          <c:showVal val="0"/>
          <c:showCatName val="0"/>
          <c:showSerName val="0"/>
          <c:showPercent val="0"/>
          <c:showBubbleSize val="0"/>
        </c:dLbls>
        <c:gapWidth val="150"/>
        <c:axId val="159227264"/>
        <c:axId val="159229440"/>
      </c:barChart>
      <c:catAx>
        <c:axId val="159227264"/>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ysClr val="windowText" lastClr="000000"/>
                    </a:solidFill>
                    <a:latin typeface="Calibri"/>
                    <a:ea typeface="Calibri"/>
                    <a:cs typeface="Calibri"/>
                  </a:defRPr>
                </a:pPr>
                <a:r>
                  <a:rPr lang="en-US" sz="1200" b="1" i="0" u="none" strike="noStrike" baseline="0">
                    <a:solidFill>
                      <a:sysClr val="windowText" lastClr="000000"/>
                    </a:solidFill>
                    <a:latin typeface="Calibri"/>
                  </a:rPr>
                  <a:t>Age groups</a:t>
                </a:r>
                <a:r>
                  <a:rPr lang="ar-QA" sz="1200" b="1" i="0" u="none" strike="noStrike" baseline="0">
                    <a:solidFill>
                      <a:sysClr val="windowText" lastClr="000000"/>
                    </a:solidFill>
                    <a:latin typeface="Calibri"/>
                  </a:rPr>
                  <a:t>الفئات العمرية </a:t>
                </a:r>
              </a:p>
            </c:rich>
          </c:tx>
          <c:layout>
            <c:manualLayout>
              <c:xMode val="edge"/>
              <c:yMode val="edge"/>
              <c:x val="0.49583642902426051"/>
              <c:y val="0.95561112293395767"/>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9229440"/>
        <c:crosses val="autoZero"/>
        <c:auto val="1"/>
        <c:lblAlgn val="ctr"/>
        <c:lblOffset val="100"/>
        <c:noMultiLvlLbl val="0"/>
      </c:catAx>
      <c:valAx>
        <c:axId val="159229440"/>
        <c:scaling>
          <c:orientation val="minMax"/>
        </c:scaling>
        <c:delete val="0"/>
        <c:axPos val="l"/>
        <c:majorGridlines>
          <c:spPr>
            <a:ln w="19050">
              <a:solidFill>
                <a:schemeClr val="bg1">
                  <a:lumMod val="85000"/>
                </a:schemeClr>
              </a:solidFill>
            </a:ln>
          </c:spPr>
        </c:majorGridlines>
        <c:title>
          <c:tx>
            <c:rich>
              <a:bodyPr rot="0" vert="horz"/>
              <a:lstStyle/>
              <a:p>
                <a:pPr>
                  <a:defRPr sz="1100" b="0" i="0" u="none" strike="noStrike" baseline="0">
                    <a:solidFill>
                      <a:srgbClr val="000000"/>
                    </a:solidFill>
                    <a:latin typeface="Calibri"/>
                    <a:ea typeface="Calibri"/>
                    <a:cs typeface="Calibri"/>
                  </a:defRPr>
                </a:pPr>
                <a:r>
                  <a:rPr lang="ar-QA" sz="1200" b="1" i="0" u="none" strike="noStrike" baseline="0">
                    <a:solidFill>
                      <a:srgbClr val="333399"/>
                    </a:solidFill>
                    <a:latin typeface="Calibri"/>
                  </a:rPr>
                  <a:t>العدد</a:t>
                </a:r>
              </a:p>
              <a:p>
                <a:pPr>
                  <a:defRPr sz="1100" b="0" i="0" u="none" strike="noStrike" baseline="0">
                    <a:solidFill>
                      <a:srgbClr val="000000"/>
                    </a:solidFill>
                    <a:latin typeface="Calibri"/>
                    <a:ea typeface="Calibri"/>
                    <a:cs typeface="Calibri"/>
                  </a:defRPr>
                </a:pPr>
                <a:r>
                  <a:rPr lang="en-US" sz="1200" b="1" i="0" u="none" strike="noStrike" baseline="0">
                    <a:solidFill>
                      <a:srgbClr val="333399"/>
                    </a:solidFill>
                    <a:latin typeface="Calibri"/>
                  </a:rPr>
                  <a:t>Number</a:t>
                </a:r>
                <a:endParaRPr lang="ar-QA" sz="1200" b="1" i="0" u="none" strike="noStrike" baseline="0">
                  <a:solidFill>
                    <a:srgbClr val="333399"/>
                  </a:solidFill>
                  <a:latin typeface="Calibri"/>
                </a:endParaRPr>
              </a:p>
            </c:rich>
          </c:tx>
          <c:layout>
            <c:manualLayout>
              <c:xMode val="edge"/>
              <c:yMode val="edge"/>
              <c:x val="1.0553160854893138E-2"/>
              <c:y val="0.1361016528339363"/>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9227264"/>
        <c:crosses val="autoZero"/>
        <c:crossBetween val="between"/>
      </c:valAx>
    </c:plotArea>
    <c:legend>
      <c:legendPos val="r"/>
      <c:layout>
        <c:manualLayout>
          <c:xMode val="edge"/>
          <c:yMode val="edge"/>
          <c:x val="7.6914345706786624E-2"/>
          <c:y val="0.14771777683195009"/>
          <c:w val="0.8860258867641545"/>
          <c:h val="8.1828048520961899E-2"/>
        </c:manualLayout>
      </c:layout>
      <c:overlay val="1"/>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66" l="0.70000000000000062" r="0.70000000000000062" t="0.75000000000001266" header="0.30000000000000032" footer="0.30000000000000032"/>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عدد أبناء الزوجة وجنسية الزوج والزوجة</a:t>
            </a:r>
          </a:p>
          <a:p>
            <a:pPr>
              <a:defRPr sz="1000" b="0" i="0" u="none" strike="noStrike" baseline="0">
                <a:solidFill>
                  <a:srgbClr val="000000"/>
                </a:solidFill>
                <a:latin typeface="Calibri"/>
                <a:ea typeface="Calibri"/>
                <a:cs typeface="Calibri"/>
              </a:defRPr>
            </a:pPr>
            <a:r>
              <a:rPr lang="en-US" sz="1200" b="1"/>
              <a:t>DIVORCES BY NUMBER OF WIFE'S CHILDREN &amp; NATIONALITY OF HUSBAND &amp; WIFE</a:t>
            </a:r>
            <a:endParaRPr lang="en-US" sz="1200"/>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2015</a:t>
            </a:r>
          </a:p>
        </c:rich>
      </c:tx>
      <c:layout>
        <c:manualLayout>
          <c:xMode val="edge"/>
          <c:yMode val="edge"/>
          <c:x val="0.17359918102582847"/>
          <c:y val="1.9526759155106078E-2"/>
        </c:manualLayout>
      </c:layout>
      <c:overlay val="0"/>
      <c:spPr>
        <a:noFill/>
        <a:ln w="25400">
          <a:noFill/>
        </a:ln>
      </c:spPr>
    </c:title>
    <c:autoTitleDeleted val="0"/>
    <c:plotArea>
      <c:layout>
        <c:manualLayout>
          <c:layoutTarget val="inner"/>
          <c:xMode val="edge"/>
          <c:yMode val="edge"/>
          <c:x val="4.0851375959536043E-2"/>
          <c:y val="0.21014253218347706"/>
          <c:w val="0.92950558579934484"/>
          <c:h val="0.60515475565554311"/>
        </c:manualLayout>
      </c:layout>
      <c:barChart>
        <c:barDir val="col"/>
        <c:grouping val="clustered"/>
        <c:varyColors val="0"/>
        <c:ser>
          <c:idx val="0"/>
          <c:order val="0"/>
          <c:tx>
            <c:strRef>
              <c:f>'44'!$B$22</c:f>
              <c:strCache>
                <c:ptCount val="1"/>
                <c:pt idx="0">
                  <c:v>عدد الحالات
No. of cases</c:v>
                </c:pt>
              </c:strCache>
            </c:strRef>
          </c:tx>
          <c:spPr>
            <a:solidFill>
              <a:schemeClr val="accent3">
                <a:lumMod val="60000"/>
                <a:lumOff val="40000"/>
              </a:schemeClr>
            </a:solidFill>
            <a:scene3d>
              <a:camera prst="orthographicFront"/>
              <a:lightRig rig="threePt" dir="t">
                <a:rot lat="0" lon="0" rev="1200000"/>
              </a:lightRig>
            </a:scene3d>
            <a:sp3d/>
          </c:spPr>
          <c:invertIfNegative val="0"/>
          <c:dLbls>
            <c:txPr>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dLbls>
          <c:cat>
            <c:strRef>
              <c:f>'44'!$A$23:$A$26</c:f>
              <c:strCache>
                <c:ptCount val="4"/>
                <c:pt idx="0">
                  <c:v>الزوج قطري والزوجة قطرية
Qatari Husband &amp; Qatari Wife</c:v>
                </c:pt>
                <c:pt idx="1">
                  <c:v>الزوج قطري والزوجة غير قطرية
Qatari Husband &amp; Non-Qatari Wife</c:v>
                </c:pt>
                <c:pt idx="2">
                  <c:v>الزوج غير قطري والزوجة قطرية
Non-Qatari Husband &amp; Qatari Wife</c:v>
                </c:pt>
                <c:pt idx="3">
                  <c:v>الزوج غير قطري والزوجة غير قطرية
Non-Qatari Husband &amp; Non-Qatari Wife</c:v>
                </c:pt>
              </c:strCache>
            </c:strRef>
          </c:cat>
          <c:val>
            <c:numRef>
              <c:f>'44'!$B$23:$B$26</c:f>
              <c:numCache>
                <c:formatCode>General</c:formatCode>
                <c:ptCount val="4"/>
                <c:pt idx="0" formatCode="#,##0">
                  <c:v>630</c:v>
                </c:pt>
                <c:pt idx="1">
                  <c:v>177</c:v>
                </c:pt>
                <c:pt idx="2">
                  <c:v>76</c:v>
                </c:pt>
                <c:pt idx="3">
                  <c:v>424</c:v>
                </c:pt>
              </c:numCache>
            </c:numRef>
          </c:val>
        </c:ser>
        <c:ser>
          <c:idx val="1"/>
          <c:order val="1"/>
          <c:tx>
            <c:strRef>
              <c:f>'44'!$C$24</c:f>
              <c:strCache>
                <c:ptCount val="1"/>
                <c:pt idx="0">
                  <c:v>عدد الأبناء
No. of children</c:v>
                </c:pt>
              </c:strCache>
            </c:strRef>
          </c:tx>
          <c:spPr>
            <a:solidFill>
              <a:schemeClr val="accent1"/>
            </a:solidFill>
            <a:scene3d>
              <a:camera prst="orthographicFront"/>
              <a:lightRig rig="threePt" dir="t">
                <a:rot lat="0" lon="0" rev="1200000"/>
              </a:lightRig>
            </a:scene3d>
            <a:sp3d/>
          </c:spPr>
          <c:invertIfNegative val="0"/>
          <c:dLbls>
            <c:txPr>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dLbls>
          <c:cat>
            <c:strRef>
              <c:f>'44'!$A$23:$A$26</c:f>
              <c:strCache>
                <c:ptCount val="4"/>
                <c:pt idx="0">
                  <c:v>الزوج قطري والزوجة قطرية
Qatari Husband &amp; Qatari Wife</c:v>
                </c:pt>
                <c:pt idx="1">
                  <c:v>الزوج قطري والزوجة غير قطرية
Qatari Husband &amp; Non-Qatari Wife</c:v>
                </c:pt>
                <c:pt idx="2">
                  <c:v>الزوج غير قطري والزوجة قطرية
Non-Qatari Husband &amp; Qatari Wife</c:v>
                </c:pt>
                <c:pt idx="3">
                  <c:v>الزوج غير قطري والزوجة غير قطرية
Non-Qatari Husband &amp; Non-Qatari Wife</c:v>
                </c:pt>
              </c:strCache>
            </c:strRef>
          </c:cat>
          <c:val>
            <c:numRef>
              <c:f>'44'!$C$25:$C$28</c:f>
              <c:numCache>
                <c:formatCode>General</c:formatCode>
                <c:ptCount val="4"/>
                <c:pt idx="0">
                  <c:v>88</c:v>
                </c:pt>
                <c:pt idx="1">
                  <c:v>51</c:v>
                </c:pt>
                <c:pt idx="2">
                  <c:v>32</c:v>
                </c:pt>
                <c:pt idx="3">
                  <c:v>70</c:v>
                </c:pt>
              </c:numCache>
            </c:numRef>
          </c:val>
        </c:ser>
        <c:dLbls>
          <c:showLegendKey val="0"/>
          <c:showVal val="1"/>
          <c:showCatName val="0"/>
          <c:showSerName val="0"/>
          <c:showPercent val="0"/>
          <c:showBubbleSize val="0"/>
        </c:dLbls>
        <c:gapWidth val="150"/>
        <c:axId val="160191232"/>
        <c:axId val="160193152"/>
      </c:barChart>
      <c:catAx>
        <c:axId val="160191232"/>
        <c:scaling>
          <c:orientation val="minMax"/>
        </c:scaling>
        <c:delete val="0"/>
        <c:axPos val="b"/>
        <c:majorGridlines>
          <c:spPr>
            <a:ln>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Nationality</a:t>
                </a:r>
                <a:r>
                  <a:rPr lang="en-US" sz="1200" b="1" i="0" u="none" strike="noStrike" baseline="0">
                    <a:solidFill>
                      <a:srgbClr val="000000"/>
                    </a:solidFill>
                    <a:latin typeface="Calibri"/>
                  </a:rPr>
                  <a:t> </a:t>
                </a:r>
                <a:r>
                  <a:rPr lang="ar-QA" sz="1200" b="1" i="0" u="none" strike="noStrike" baseline="0">
                    <a:solidFill>
                      <a:srgbClr val="000000"/>
                    </a:solidFill>
                    <a:latin typeface="Calibri"/>
                  </a:rPr>
                  <a:t>الجنسية</a:t>
                </a:r>
              </a:p>
            </c:rich>
          </c:tx>
          <c:layout>
            <c:manualLayout>
              <c:xMode val="edge"/>
              <c:yMode val="edge"/>
              <c:x val="0.48107461658422873"/>
              <c:y val="0.95394055743032502"/>
            </c:manualLayout>
          </c:layout>
          <c:overlay val="0"/>
          <c:spPr>
            <a:noFill/>
            <a:ln w="25400">
              <a:noFill/>
            </a:ln>
          </c:spPr>
        </c:title>
        <c:numFmt formatCode="General" sourceLinked="1"/>
        <c:majorTickMark val="out"/>
        <c:minorTickMark val="none"/>
        <c:tickLblPos val="nextTo"/>
        <c:txPr>
          <a:bodyPr rot="0" vert="horz"/>
          <a:lstStyle/>
          <a:p>
            <a:pPr>
              <a:defRPr sz="1100" b="0" i="0" u="none" strike="noStrike" baseline="0">
                <a:solidFill>
                  <a:sysClr val="windowText" lastClr="000000"/>
                </a:solidFill>
                <a:latin typeface="Arial"/>
                <a:ea typeface="Arial"/>
                <a:cs typeface="Arial"/>
              </a:defRPr>
            </a:pPr>
            <a:endParaRPr lang="en-US"/>
          </a:p>
        </c:txPr>
        <c:crossAx val="160193152"/>
        <c:crosses val="autoZero"/>
        <c:auto val="1"/>
        <c:lblAlgn val="ctr"/>
        <c:lblOffset val="100"/>
        <c:tickLblSkip val="1"/>
        <c:tickMarkSkip val="1"/>
        <c:noMultiLvlLbl val="0"/>
      </c:catAx>
      <c:valAx>
        <c:axId val="160193152"/>
        <c:scaling>
          <c:orientation val="minMax"/>
        </c:scaling>
        <c:delete val="1"/>
        <c:axPos val="l"/>
        <c:majorGridlines>
          <c:spPr>
            <a:ln>
              <a:solidFill>
                <a:schemeClr val="bg1">
                  <a:lumMod val="85000"/>
                </a:schemeClr>
              </a:solidFill>
            </a:ln>
          </c:spPr>
        </c:majorGridlines>
        <c:numFmt formatCode="#,##0" sourceLinked="1"/>
        <c:majorTickMark val="out"/>
        <c:minorTickMark val="none"/>
        <c:tickLblPos val="none"/>
        <c:crossAx val="160191232"/>
        <c:crosses val="autoZero"/>
        <c:crossBetween val="between"/>
      </c:valAx>
    </c:plotArea>
    <c:legend>
      <c:legendPos val="r"/>
      <c:layout>
        <c:manualLayout>
          <c:xMode val="edge"/>
          <c:yMode val="edge"/>
          <c:x val="0.29819041149625436"/>
          <c:y val="0.17797275340582441"/>
          <c:w val="0.14543386815408721"/>
          <c:h val="0.23645364329458815"/>
        </c:manualLayout>
      </c:layout>
      <c:overlay val="0"/>
      <c:spPr>
        <a:noFill/>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39370078740157488"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معدلات الزواج والطلاق الخام لكل ألف من السكان</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AND DIVORCES CRUDE RATE PER 1000 POPULATION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2006 - 2015</a:t>
            </a:r>
          </a:p>
        </c:rich>
      </c:tx>
      <c:layout>
        <c:manualLayout>
          <c:xMode val="edge"/>
          <c:yMode val="edge"/>
          <c:x val="0.18980007207483029"/>
          <c:y val="2.7145806774153271E-2"/>
        </c:manualLayout>
      </c:layout>
      <c:overlay val="0"/>
      <c:spPr>
        <a:noFill/>
        <a:ln w="25400">
          <a:noFill/>
        </a:ln>
      </c:spPr>
    </c:title>
    <c:autoTitleDeleted val="0"/>
    <c:plotArea>
      <c:layout>
        <c:manualLayout>
          <c:layoutTarget val="inner"/>
          <c:xMode val="edge"/>
          <c:yMode val="edge"/>
          <c:x val="5.5432177903644901E-2"/>
          <c:y val="0.17966634170729129"/>
          <c:w val="0.92950558579932918"/>
          <c:h val="0.76007539057620199"/>
        </c:manualLayout>
      </c:layout>
      <c:lineChart>
        <c:grouping val="standard"/>
        <c:varyColors val="0"/>
        <c:ser>
          <c:idx val="0"/>
          <c:order val="0"/>
          <c:tx>
            <c:strRef>
              <c:f>'4'!$E$6:$E$7</c:f>
              <c:strCache>
                <c:ptCount val="1"/>
                <c:pt idx="0">
                  <c:v>معدل الطلاق الخام Crude Divorces Rate</c:v>
                </c:pt>
              </c:strCache>
            </c:strRef>
          </c:tx>
          <c:spPr>
            <a:ln w="44450"/>
          </c:spPr>
          <c:dLbls>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dLbls>
          <c:cat>
            <c:numRef>
              <c:f>'4'!$F$8:$F$17</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'4'!$E$8:$E$17</c:f>
              <c:numCache>
                <c:formatCode>0.0</c:formatCode>
                <c:ptCount val="10"/>
                <c:pt idx="0">
                  <c:v>0.79198655348737768</c:v>
                </c:pt>
                <c:pt idx="1">
                  <c:v>0.81838703057664686</c:v>
                </c:pt>
                <c:pt idx="2">
                  <c:v>0.64826621580292154</c:v>
                </c:pt>
                <c:pt idx="3">
                  <c:v>0.67617625986649788</c:v>
                </c:pt>
                <c:pt idx="4">
                  <c:v>0.7</c:v>
                </c:pt>
                <c:pt idx="5">
                  <c:v>0.6</c:v>
                </c:pt>
                <c:pt idx="6">
                  <c:v>0.8</c:v>
                </c:pt>
                <c:pt idx="7">
                  <c:v>0.7</c:v>
                </c:pt>
                <c:pt idx="8">
                  <c:v>0.6</c:v>
                </c:pt>
                <c:pt idx="9">
                  <c:v>0.53614134113274736</c:v>
                </c:pt>
              </c:numCache>
            </c:numRef>
          </c:val>
          <c:smooth val="0"/>
        </c:ser>
        <c:ser>
          <c:idx val="1"/>
          <c:order val="1"/>
          <c:tx>
            <c:strRef>
              <c:f>'4'!$C$6:$C$7</c:f>
              <c:strCache>
                <c:ptCount val="1"/>
                <c:pt idx="0">
                  <c:v>معدل الزواج الخام Crude Marriages Rate</c:v>
                </c:pt>
              </c:strCache>
            </c:strRef>
          </c:tx>
          <c:spPr>
            <a:ln w="41275">
              <a:solidFill>
                <a:schemeClr val="accent5">
                  <a:lumMod val="60000"/>
                  <a:lumOff val="40000"/>
                </a:schemeClr>
              </a:solidFill>
            </a:ln>
          </c:spPr>
          <c:marker>
            <c:spPr>
              <a:solidFill>
                <a:schemeClr val="tx2">
                  <a:lumMod val="40000"/>
                  <a:lumOff val="60000"/>
                </a:schemeClr>
              </a:solidFill>
              <a:ln>
                <a:solidFill>
                  <a:schemeClr val="accent5">
                    <a:lumMod val="60000"/>
                    <a:lumOff val="40000"/>
                  </a:schemeClr>
                </a:solidFill>
              </a:ln>
            </c:spPr>
          </c:marker>
          <c:dLbls>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dLbls>
          <c:cat>
            <c:numRef>
              <c:f>'4'!$F$8:$F$17</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'4'!$C$8:$C$17</c:f>
              <c:numCache>
                <c:formatCode>0.0</c:formatCode>
                <c:ptCount val="10"/>
                <c:pt idx="0">
                  <c:v>2.8946820883515652</c:v>
                </c:pt>
                <c:pt idx="1">
                  <c:v>2.6316437512825774</c:v>
                </c:pt>
                <c:pt idx="2">
                  <c:v>2.2333772184477652</c:v>
                </c:pt>
                <c:pt idx="3">
                  <c:v>1.9241730571832742</c:v>
                </c:pt>
                <c:pt idx="4">
                  <c:v>1.7</c:v>
                </c:pt>
                <c:pt idx="5">
                  <c:v>1.9</c:v>
                </c:pt>
                <c:pt idx="6">
                  <c:v>1.9</c:v>
                </c:pt>
                <c:pt idx="7">
                  <c:v>1.8</c:v>
                </c:pt>
                <c:pt idx="8">
                  <c:v>1.7</c:v>
                </c:pt>
                <c:pt idx="9">
                  <c:v>1.5276131250025637</c:v>
                </c:pt>
              </c:numCache>
            </c:numRef>
          </c:val>
          <c:smooth val="0"/>
        </c:ser>
        <c:dLbls>
          <c:showLegendKey val="0"/>
          <c:showVal val="1"/>
          <c:showCatName val="0"/>
          <c:showSerName val="0"/>
          <c:showPercent val="0"/>
          <c:showBubbleSize val="0"/>
        </c:dLbls>
        <c:marker val="1"/>
        <c:smooth val="0"/>
        <c:axId val="172487808"/>
        <c:axId val="172489344"/>
      </c:lineChart>
      <c:catAx>
        <c:axId val="172487808"/>
        <c:scaling>
          <c:orientation val="minMax"/>
        </c:scaling>
        <c:delete val="0"/>
        <c:axPos val="b"/>
        <c:majorGridlines>
          <c:spPr>
            <a:ln w="19050">
              <a:solidFill>
                <a:schemeClr val="bg1">
                  <a:lumMod val="85000"/>
                </a:schemeClr>
              </a:solidFill>
              <a:prstDash val="sysDot"/>
            </a:ln>
          </c:spPr>
        </c:majorGridlines>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72489344"/>
        <c:crosses val="autoZero"/>
        <c:auto val="1"/>
        <c:lblAlgn val="ctr"/>
        <c:lblOffset val="100"/>
        <c:tickLblSkip val="1"/>
        <c:tickMarkSkip val="1"/>
        <c:noMultiLvlLbl val="0"/>
      </c:catAx>
      <c:valAx>
        <c:axId val="172489344"/>
        <c:scaling>
          <c:orientation val="minMax"/>
        </c:scaling>
        <c:delete val="0"/>
        <c:axPos val="l"/>
        <c:majorGridlines>
          <c:spPr>
            <a:ln w="190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المعدل</a:t>
                </a:r>
              </a:p>
              <a:p>
                <a:pPr algn="ctr">
                  <a:defRPr sz="11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Rate</a:t>
                </a:r>
              </a:p>
            </c:rich>
          </c:tx>
          <c:layout>
            <c:manualLayout>
              <c:xMode val="edge"/>
              <c:yMode val="edge"/>
              <c:x val="1.891906889524593E-2"/>
              <c:y val="7.2173178352705911E-2"/>
            </c:manualLayout>
          </c:layout>
          <c:overlay val="0"/>
          <c:spPr>
            <a:noFill/>
            <a:ln w="25400">
              <a:noFill/>
            </a:ln>
          </c:spPr>
        </c:title>
        <c:numFmt formatCode="0.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72487808"/>
        <c:crosses val="autoZero"/>
        <c:crossBetween val="between"/>
      </c:valAx>
    </c:plotArea>
    <c:legend>
      <c:legendPos val="r"/>
      <c:layout>
        <c:manualLayout>
          <c:xMode val="edge"/>
          <c:yMode val="edge"/>
          <c:x val="0.56388502469998458"/>
          <c:y val="0.22876640419947647"/>
          <c:w val="0.39292544082051173"/>
          <c:h val="0.14188866391701038"/>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معدل الــزواج العام</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BY GENERAL RATE</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2006 - 2015</a:t>
            </a:r>
          </a:p>
        </c:rich>
      </c:tx>
      <c:layout>
        <c:manualLayout>
          <c:xMode val="edge"/>
          <c:yMode val="edge"/>
          <c:x val="0.37823988103182032"/>
          <c:y val="1.3295696528499558E-2"/>
        </c:manualLayout>
      </c:layout>
      <c:overlay val="0"/>
      <c:spPr>
        <a:noFill/>
        <a:ln w="25400">
          <a:noFill/>
        </a:ln>
      </c:spPr>
    </c:title>
    <c:autoTitleDeleted val="0"/>
    <c:plotArea>
      <c:layout>
        <c:manualLayout>
          <c:layoutTarget val="inner"/>
          <c:xMode val="edge"/>
          <c:yMode val="edge"/>
          <c:x val="5.8799069805394004E-2"/>
          <c:y val="0.15758102393397766"/>
          <c:w val="0.93834029220923665"/>
          <c:h val="0.75680166394295068"/>
        </c:manualLayout>
      </c:layout>
      <c:lineChart>
        <c:grouping val="standard"/>
        <c:varyColors val="0"/>
        <c:ser>
          <c:idx val="1"/>
          <c:order val="0"/>
          <c:tx>
            <c:strRef>
              <c:f>'5'!$L$7:$M$7</c:f>
              <c:strCache>
                <c:ptCount val="1"/>
                <c:pt idx="0">
                  <c:v>الإناث Females</c:v>
                </c:pt>
              </c:strCache>
            </c:strRef>
          </c:tx>
          <c:marker>
            <c:spPr>
              <a:solidFill>
                <a:srgbClr val="C00000"/>
              </a:solidFill>
            </c:spPr>
          </c:marker>
          <c:dLbls>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dLbls>
          <c:cat>
            <c:numRef>
              <c:f>'5'!$N$9:$N$18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'5'!$M$9:$M$18</c:f>
              <c:numCache>
                <c:formatCode>0.0</c:formatCode>
                <c:ptCount val="10"/>
                <c:pt idx="0">
                  <c:v>15.576709748987435</c:v>
                </c:pt>
                <c:pt idx="1">
                  <c:v>14.999181267398068</c:v>
                </c:pt>
                <c:pt idx="2">
                  <c:v>13.757410289777415</c:v>
                </c:pt>
                <c:pt idx="3">
                  <c:v>11.889229933860738</c:v>
                </c:pt>
                <c:pt idx="4">
                  <c:v>9.5</c:v>
                </c:pt>
                <c:pt idx="5">
                  <c:v>10.3</c:v>
                </c:pt>
                <c:pt idx="6">
                  <c:v>10.3</c:v>
                </c:pt>
                <c:pt idx="7">
                  <c:v>9.5</c:v>
                </c:pt>
                <c:pt idx="8">
                  <c:v>9.0270048476539362</c:v>
                </c:pt>
                <c:pt idx="9">
                  <c:v>8.4345650696175323</c:v>
                </c:pt>
              </c:numCache>
            </c:numRef>
          </c:val>
          <c:smooth val="0"/>
        </c:ser>
        <c:ser>
          <c:idx val="0"/>
          <c:order val="1"/>
          <c:tx>
            <c:strRef>
              <c:f>'5'!$J$7:$K$7</c:f>
              <c:strCache>
                <c:ptCount val="1"/>
                <c:pt idx="0">
                  <c:v>الذكور Males</c:v>
                </c:pt>
              </c:strCache>
            </c:strRef>
          </c:tx>
          <c:dLbls>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dLbls>
          <c:cat>
            <c:numRef>
              <c:f>'5'!$N$9:$N$18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'5'!$K$9:$K$18</c:f>
              <c:numCache>
                <c:formatCode>0.0</c:formatCode>
                <c:ptCount val="10"/>
                <c:pt idx="0">
                  <c:v>4.6447583002553925</c:v>
                </c:pt>
                <c:pt idx="1">
                  <c:v>4.0168995449351481</c:v>
                </c:pt>
                <c:pt idx="2">
                  <c:v>3.2355273909647275</c:v>
                </c:pt>
                <c:pt idx="3">
                  <c:v>2.7425475857665869</c:v>
                </c:pt>
                <c:pt idx="4">
                  <c:v>2.5</c:v>
                </c:pt>
                <c:pt idx="5">
                  <c:v>2.8</c:v>
                </c:pt>
                <c:pt idx="6">
                  <c:v>2.9</c:v>
                </c:pt>
                <c:pt idx="7">
                  <c:v>2.7</c:v>
                </c:pt>
                <c:pt idx="8">
                  <c:v>2.4706800086077036</c:v>
                </c:pt>
                <c:pt idx="9">
                  <c:v>2.232762491988376</c:v>
                </c:pt>
              </c:numCache>
            </c:numRef>
          </c:val>
          <c:smooth val="0"/>
        </c:ser>
        <c:dLbls>
          <c:showLegendKey val="0"/>
          <c:showVal val="1"/>
          <c:showCatName val="0"/>
          <c:showSerName val="0"/>
          <c:showPercent val="0"/>
          <c:showBubbleSize val="0"/>
        </c:dLbls>
        <c:marker val="1"/>
        <c:smooth val="0"/>
        <c:axId val="172807680"/>
        <c:axId val="172809216"/>
      </c:lineChart>
      <c:catAx>
        <c:axId val="172807680"/>
        <c:scaling>
          <c:orientation val="minMax"/>
        </c:scaling>
        <c:delete val="0"/>
        <c:axPos val="b"/>
        <c:majorGridlines>
          <c:spPr>
            <a:ln>
              <a:solidFill>
                <a:sysClr val="window" lastClr="FFFFFF">
                  <a:lumMod val="85000"/>
                </a:sysClr>
              </a:solidFill>
              <a:prstDash val="sysDot"/>
            </a:ln>
          </c:spPr>
        </c:majorGridlines>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72809216"/>
        <c:crosses val="autoZero"/>
        <c:auto val="1"/>
        <c:lblAlgn val="ctr"/>
        <c:lblOffset val="100"/>
        <c:tickLblSkip val="1"/>
        <c:tickMarkSkip val="1"/>
        <c:noMultiLvlLbl val="0"/>
      </c:catAx>
      <c:valAx>
        <c:axId val="172809216"/>
        <c:scaling>
          <c:orientation val="minMax"/>
        </c:scaling>
        <c:delete val="0"/>
        <c:axPos val="l"/>
        <c:majorGridlines>
          <c:spPr>
            <a:ln>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en-US" sz="1200" b="0" i="0" u="none" strike="noStrike" baseline="0">
                    <a:solidFill>
                      <a:srgbClr val="000000"/>
                    </a:solidFill>
                    <a:latin typeface="Arial"/>
                    <a:cs typeface="Arial"/>
                  </a:rPr>
                  <a:t>Rate</a:t>
                </a:r>
              </a:p>
            </c:rich>
          </c:tx>
          <c:layout>
            <c:manualLayout>
              <c:xMode val="edge"/>
              <c:yMode val="edge"/>
              <c:x val="3.0809708108521239E-2"/>
              <c:y val="5.6927252018026064E-2"/>
            </c:manualLayout>
          </c:layout>
          <c:overlay val="0"/>
          <c:spPr>
            <a:noFill/>
            <a:ln w="25400">
              <a:noFill/>
            </a:ln>
          </c:spPr>
        </c:title>
        <c:numFmt formatCode="0.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72807680"/>
        <c:crosses val="autoZero"/>
        <c:crossBetween val="between"/>
      </c:valAx>
      <c:spPr>
        <a:noFill/>
        <a:ln w="25400">
          <a:noFill/>
        </a:ln>
      </c:spPr>
    </c:plotArea>
    <c:legend>
      <c:legendPos val="r"/>
      <c:layout>
        <c:manualLayout>
          <c:xMode val="edge"/>
          <c:yMode val="edge"/>
          <c:x val="0.76593023329711385"/>
          <c:y val="0.16472837121774875"/>
          <c:w val="0.16735264024200369"/>
          <c:h val="9.6985688109740995E-2"/>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66" l="0.70000000000000062" r="0.70000000000000062" t="0.75000000000001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عقود الزواج المسجلة حسب جنسية الزوج</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BY NATIONALITY OF HUSBAND</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2015</a:t>
            </a:r>
          </a:p>
        </c:rich>
      </c:tx>
      <c:layout>
        <c:manualLayout>
          <c:xMode val="edge"/>
          <c:yMode val="edge"/>
          <c:x val="0.28377132138879668"/>
          <c:y val="1.8203974503187236E-3"/>
        </c:manualLayout>
      </c:layout>
      <c:overlay val="0"/>
      <c:spPr>
        <a:noFill/>
        <a:ln w="25400">
          <a:noFill/>
        </a:ln>
      </c:spPr>
    </c:title>
    <c:autoTitleDeleted val="0"/>
    <c:plotArea>
      <c:layout>
        <c:manualLayout>
          <c:layoutTarget val="inner"/>
          <c:xMode val="edge"/>
          <c:yMode val="edge"/>
          <c:x val="0.27059820376051008"/>
          <c:y val="0.23683997833604134"/>
          <c:w val="0.44495639657946662"/>
          <c:h val="0.71157709452985063"/>
        </c:manualLayout>
      </c:layout>
      <c:pieChart>
        <c:varyColors val="1"/>
        <c:ser>
          <c:idx val="0"/>
          <c:order val="0"/>
          <c:spPr>
            <a:scene3d>
              <a:camera prst="orthographicFront"/>
              <a:lightRig rig="threePt" dir="t"/>
            </a:scene3d>
            <a:sp3d>
              <a:contourClr>
                <a:srgbClr val="000000"/>
              </a:contourClr>
            </a:sp3d>
          </c:spPr>
          <c:dPt>
            <c:idx val="0"/>
            <c:bubble3D val="0"/>
            <c:spPr>
              <a:solidFill>
                <a:srgbClr val="993366"/>
              </a:solidFill>
              <a:scene3d>
                <a:camera prst="orthographicFront"/>
                <a:lightRig rig="threePt" dir="t"/>
              </a:scene3d>
              <a:sp3d>
                <a:contourClr>
                  <a:srgbClr val="000000"/>
                </a:contourClr>
              </a:sp3d>
            </c:spPr>
          </c:dPt>
          <c:dPt>
            <c:idx val="1"/>
            <c:bubble3D val="0"/>
            <c:spPr>
              <a:solidFill>
                <a:schemeClr val="tx2">
                  <a:lumMod val="20000"/>
                  <a:lumOff val="80000"/>
                </a:schemeClr>
              </a:solidFill>
              <a:scene3d>
                <a:camera prst="orthographicFront"/>
                <a:lightRig rig="threePt" dir="t"/>
              </a:scene3d>
              <a:sp3d>
                <a:contourClr>
                  <a:srgbClr val="000000"/>
                </a:contourClr>
              </a:sp3d>
            </c:spPr>
          </c:dPt>
          <c:dPt>
            <c:idx val="4"/>
            <c:bubble3D val="0"/>
            <c:spPr>
              <a:solidFill>
                <a:srgbClr val="FFFF00"/>
              </a:solidFill>
              <a:scene3d>
                <a:camera prst="orthographicFront"/>
                <a:lightRig rig="threePt" dir="t"/>
              </a:scene3d>
              <a:sp3d>
                <a:contourClr>
                  <a:srgbClr val="000000"/>
                </a:contourClr>
              </a:sp3d>
            </c:spPr>
          </c:dPt>
          <c:dPt>
            <c:idx val="5"/>
            <c:bubble3D val="0"/>
            <c:spPr>
              <a:solidFill>
                <a:schemeClr val="accent6"/>
              </a:solidFill>
              <a:scene3d>
                <a:camera prst="orthographicFront"/>
                <a:lightRig rig="threePt" dir="t"/>
              </a:scene3d>
              <a:sp3d>
                <a:contourClr>
                  <a:srgbClr val="000000"/>
                </a:contourClr>
              </a:sp3d>
            </c:spPr>
          </c:dPt>
          <c:dLbls>
            <c:dLbl>
              <c:idx val="0"/>
              <c:layout>
                <c:manualLayout>
                  <c:x val="0.13891131474570734"/>
                  <c:y val="-0.12735220597425317"/>
                </c:manualLayout>
              </c:layout>
              <c:numFmt formatCode="0.0%" sourceLinked="0"/>
              <c:spPr>
                <a:noFill/>
                <a:ln w="25400">
                  <a:noFill/>
                </a:ln>
              </c:spPr>
              <c:txPr>
                <a:bodyPr/>
                <a:lstStyle/>
                <a:p>
                  <a:pPr>
                    <a:defRPr sz="1000" b="1" i="0" u="none" strike="noStrike" baseline="0">
                      <a:solidFill>
                        <a:srgbClr val="FFFFFF"/>
                      </a:solidFill>
                      <a:latin typeface="Arial"/>
                      <a:ea typeface="Arial"/>
                      <a:cs typeface="Arial"/>
                    </a:defRPr>
                  </a:pPr>
                  <a:endParaRPr lang="en-US"/>
                </a:p>
              </c:txPr>
              <c:dLblPos val="bestFit"/>
              <c:showLegendKey val="0"/>
              <c:showVal val="0"/>
              <c:showCatName val="1"/>
              <c:showSerName val="0"/>
              <c:showPercent val="1"/>
              <c:showBubbleSize val="0"/>
            </c:dLbl>
            <c:dLbl>
              <c:idx val="1"/>
              <c:layout>
                <c:manualLayout>
                  <c:x val="-8.2816409735383567E-2"/>
                  <c:y val="1.900408282298046E-2"/>
                </c:manualLayout>
              </c:layout>
              <c:dLblPos val="bestFit"/>
              <c:showLegendKey val="0"/>
              <c:showVal val="0"/>
              <c:showCatName val="1"/>
              <c:showSerName val="0"/>
              <c:showPercent val="1"/>
              <c:showBubbleSize val="0"/>
            </c:dLbl>
            <c:dLbl>
              <c:idx val="2"/>
              <c:layout>
                <c:manualLayout>
                  <c:x val="1.3188487915437477E-3"/>
                  <c:y val="1.1467524892721816E-2"/>
                </c:manualLayout>
              </c:layout>
              <c:dLblPos val="bestFit"/>
              <c:showLegendKey val="0"/>
              <c:showVal val="0"/>
              <c:showCatName val="1"/>
              <c:showSerName val="0"/>
              <c:showPercent val="1"/>
              <c:showBubbleSize val="0"/>
            </c:dLbl>
            <c:dLbl>
              <c:idx val="3"/>
              <c:layout>
                <c:manualLayout>
                  <c:x val="1.2742749588063281E-2"/>
                  <c:y val="-6.8645377661125689E-2"/>
                </c:manualLayout>
              </c:layout>
              <c:dLblPos val="bestFit"/>
              <c:showLegendKey val="0"/>
              <c:showVal val="0"/>
              <c:showCatName val="1"/>
              <c:showSerName val="0"/>
              <c:showPercent val="1"/>
              <c:showBubbleSize val="0"/>
            </c:dLbl>
            <c:dLbl>
              <c:idx val="4"/>
              <c:layout>
                <c:manualLayout>
                  <c:x val="3.8458282044769219E-2"/>
                  <c:y val="-6.0240803232929206E-2"/>
                </c:manualLayout>
              </c:layout>
              <c:dLblPos val="bestFit"/>
              <c:showLegendKey val="0"/>
              <c:showVal val="0"/>
              <c:showCatName val="1"/>
              <c:showSerName val="0"/>
              <c:showPercent val="1"/>
              <c:showBubbleSize val="0"/>
            </c:dLbl>
            <c:dLbl>
              <c:idx val="5"/>
              <c:layout>
                <c:manualLayout>
                  <c:x val="-4.8582481780348588E-2"/>
                  <c:y val="3.1975378077740597E-2"/>
                </c:manualLayout>
              </c:layout>
              <c:dLblPos val="bestFit"/>
              <c:showLegendKey val="0"/>
              <c:showVal val="0"/>
              <c:showCatName val="1"/>
              <c:showSerName val="0"/>
              <c:showPercent val="1"/>
              <c:showBubbleSize val="0"/>
            </c:dLbl>
            <c:numFmt formatCode="0.0%" sourceLinked="0"/>
            <c:spPr>
              <a:noFill/>
              <a:ln w="25400">
                <a:noFill/>
              </a:ln>
            </c:spPr>
            <c:txPr>
              <a:bodyPr/>
              <a:lstStyle/>
              <a:p>
                <a:pPr>
                  <a:defRPr sz="1000" b="1"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showLeaderLines val="1"/>
          </c:dLbls>
          <c:cat>
            <c:strRef>
              <c:f>'8'!$A$20:$A$25</c:f>
              <c:strCache>
                <c:ptCount val="6"/>
                <c:pt idx="0">
                  <c:v>قطر
Qatar</c:v>
                </c:pt>
                <c:pt idx="1">
                  <c:v>بقية دول مجلس التعاون
Other G.C.C. Countries</c:v>
                </c:pt>
                <c:pt idx="2">
                  <c:v>باقي الدول العربية
Other Arabs Countries</c:v>
                </c:pt>
                <c:pt idx="3">
                  <c:v>دول أسيوية
Asian Countries</c:v>
                </c:pt>
                <c:pt idx="4">
                  <c:v>دول أوروبية
Europen Countries</c:v>
                </c:pt>
                <c:pt idx="5">
                  <c:v>دول أخرى
Other Countries</c:v>
                </c:pt>
              </c:strCache>
            </c:strRef>
          </c:cat>
          <c:val>
            <c:numRef>
              <c:f>'8'!$I$8:$I$13</c:f>
              <c:numCache>
                <c:formatCode>0.0</c:formatCode>
                <c:ptCount val="6"/>
                <c:pt idx="0">
                  <c:v>55.558539205155746</c:v>
                </c:pt>
                <c:pt idx="1">
                  <c:v>4.7261009667024707</c:v>
                </c:pt>
                <c:pt idx="2">
                  <c:v>27.175080558539204</c:v>
                </c:pt>
                <c:pt idx="3">
                  <c:v>9.8549946294307205</c:v>
                </c:pt>
                <c:pt idx="4">
                  <c:v>1.0204081632653061</c:v>
                </c:pt>
                <c:pt idx="5">
                  <c:v>1.664876476906552</c:v>
                </c:pt>
              </c:numCache>
            </c:numRef>
          </c:val>
        </c:ser>
        <c:dLbls>
          <c:showLegendKey val="0"/>
          <c:showVal val="0"/>
          <c:showCatName val="1"/>
          <c:showSerName val="0"/>
          <c:showPercent val="1"/>
          <c:showBubbleSize val="0"/>
          <c:showLeaderLines val="1"/>
        </c:dLbls>
        <c:firstSliceAng val="131"/>
      </c:pieChart>
      <c:spPr>
        <a:noFill/>
        <a:ln w="25400">
          <a:noFill/>
        </a:ln>
      </c:spPr>
    </c:plotArea>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عقود الزواج المسجلة حسب الحالة التعليمية للزوجة والزوج</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BY EDUCATIONAL STATUS OF WIFE AND HUSBAND</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2015</a:t>
            </a:r>
          </a:p>
        </c:rich>
      </c:tx>
      <c:layout>
        <c:manualLayout>
          <c:xMode val="edge"/>
          <c:yMode val="edge"/>
          <c:x val="0.21681938062826953"/>
          <c:y val="1.5811419798940247E-2"/>
        </c:manualLayout>
      </c:layout>
      <c:overlay val="0"/>
      <c:spPr>
        <a:noFill/>
        <a:ln w="25400">
          <a:noFill/>
        </a:ln>
      </c:spPr>
    </c:title>
    <c:autoTitleDeleted val="0"/>
    <c:plotArea>
      <c:layout>
        <c:manualLayout>
          <c:layoutTarget val="inner"/>
          <c:xMode val="edge"/>
          <c:yMode val="edge"/>
          <c:x val="6.1429906007511782E-2"/>
          <c:y val="0.14751805080968691"/>
          <c:w val="0.93857009399248825"/>
          <c:h val="0.65868845639581686"/>
        </c:manualLayout>
      </c:layout>
      <c:barChart>
        <c:barDir val="col"/>
        <c:grouping val="clustered"/>
        <c:varyColors val="0"/>
        <c:ser>
          <c:idx val="0"/>
          <c:order val="0"/>
          <c:tx>
            <c:strRef>
              <c:f>'16-3'!$B$25</c:f>
              <c:strCache>
                <c:ptCount val="1"/>
                <c:pt idx="0">
                  <c:v>الزوج Husband</c:v>
                </c:pt>
              </c:strCache>
            </c:strRef>
          </c:tx>
          <c:spPr>
            <a:solidFill>
              <a:schemeClr val="accent1"/>
            </a:solidFill>
            <a:scene3d>
              <a:camera prst="orthographicFront"/>
              <a:lightRig rig="threePt" dir="t"/>
            </a:scene3d>
            <a:sp3d/>
          </c:spPr>
          <c:invertIfNegative val="0"/>
          <c:dLbls>
            <c:delete val="1"/>
          </c:dLbls>
          <c:cat>
            <c:strRef>
              <c:f>'16-3'!$A$26:$A$33</c:f>
              <c:strCache>
                <c:ptCount val="8"/>
                <c:pt idx="0">
                  <c:v>أمي
Illiterate</c:v>
                </c:pt>
                <c:pt idx="1">
                  <c:v>يقرأ ويكتب
Read and Write</c:v>
                </c:pt>
                <c:pt idx="2">
                  <c:v>إبتدائي
Primary</c:v>
                </c:pt>
                <c:pt idx="3">
                  <c:v>إعدادي
Preparatory</c:v>
                </c:pt>
                <c:pt idx="4">
                  <c:v>ثانوي
Secondary</c:v>
                </c:pt>
                <c:pt idx="5">
                  <c:v>دبلوم فوق الثانوي
Post Secondary</c:v>
                </c:pt>
                <c:pt idx="6">
                  <c:v>جامعي فما فوق
Univ &amp; Above</c:v>
                </c:pt>
                <c:pt idx="7">
                  <c:v>غير مبين
Not Stated</c:v>
                </c:pt>
              </c:strCache>
            </c:strRef>
          </c:cat>
          <c:val>
            <c:numRef>
              <c:f>'16-3'!$B$26:$B$33</c:f>
              <c:numCache>
                <c:formatCode>#,##0</c:formatCode>
                <c:ptCount val="8"/>
                <c:pt idx="0">
                  <c:v>14</c:v>
                </c:pt>
                <c:pt idx="1">
                  <c:v>28</c:v>
                </c:pt>
                <c:pt idx="2">
                  <c:v>201</c:v>
                </c:pt>
                <c:pt idx="3">
                  <c:v>363</c:v>
                </c:pt>
                <c:pt idx="4">
                  <c:v>1465</c:v>
                </c:pt>
                <c:pt idx="5">
                  <c:v>142</c:v>
                </c:pt>
                <c:pt idx="6">
                  <c:v>1508</c:v>
                </c:pt>
                <c:pt idx="7">
                  <c:v>3</c:v>
                </c:pt>
              </c:numCache>
            </c:numRef>
          </c:val>
        </c:ser>
        <c:ser>
          <c:idx val="1"/>
          <c:order val="1"/>
          <c:tx>
            <c:strRef>
              <c:f>'16-3'!$C$25</c:f>
              <c:strCache>
                <c:ptCount val="1"/>
                <c:pt idx="0">
                  <c:v>الزوجة Wife</c:v>
                </c:pt>
              </c:strCache>
            </c:strRef>
          </c:tx>
          <c:spPr>
            <a:solidFill>
              <a:schemeClr val="accent2"/>
            </a:solidFill>
            <a:scene3d>
              <a:camera prst="orthographicFront"/>
              <a:lightRig rig="threePt" dir="t"/>
            </a:scene3d>
            <a:sp3d/>
          </c:spPr>
          <c:invertIfNegative val="0"/>
          <c:dLbls>
            <c:delete val="1"/>
          </c:dLbls>
          <c:cat>
            <c:strRef>
              <c:f>'16-3'!$A$26:$A$33</c:f>
              <c:strCache>
                <c:ptCount val="8"/>
                <c:pt idx="0">
                  <c:v>أمي
Illiterate</c:v>
                </c:pt>
                <c:pt idx="1">
                  <c:v>يقرأ ويكتب
Read and Write</c:v>
                </c:pt>
                <c:pt idx="2">
                  <c:v>إبتدائي
Primary</c:v>
                </c:pt>
                <c:pt idx="3">
                  <c:v>إعدادي
Preparatory</c:v>
                </c:pt>
                <c:pt idx="4">
                  <c:v>ثانوي
Secondary</c:v>
                </c:pt>
                <c:pt idx="5">
                  <c:v>دبلوم فوق الثانوي
Post Secondary</c:v>
                </c:pt>
                <c:pt idx="6">
                  <c:v>جامعي فما فوق
Univ &amp; Above</c:v>
                </c:pt>
                <c:pt idx="7">
                  <c:v>غير مبين
Not Stated</c:v>
                </c:pt>
              </c:strCache>
            </c:strRef>
          </c:cat>
          <c:val>
            <c:numRef>
              <c:f>'16-3'!$C$26:$C$33</c:f>
              <c:numCache>
                <c:formatCode>General</c:formatCode>
                <c:ptCount val="8"/>
                <c:pt idx="0">
                  <c:v>30</c:v>
                </c:pt>
                <c:pt idx="1">
                  <c:v>41</c:v>
                </c:pt>
                <c:pt idx="2">
                  <c:v>117</c:v>
                </c:pt>
                <c:pt idx="3">
                  <c:v>350</c:v>
                </c:pt>
                <c:pt idx="4">
                  <c:v>1956</c:v>
                </c:pt>
                <c:pt idx="5">
                  <c:v>101</c:v>
                </c:pt>
                <c:pt idx="6">
                  <c:v>1120</c:v>
                </c:pt>
                <c:pt idx="7">
                  <c:v>9</c:v>
                </c:pt>
              </c:numCache>
            </c:numRef>
          </c:val>
        </c:ser>
        <c:dLbls>
          <c:showLegendKey val="0"/>
          <c:showVal val="1"/>
          <c:showCatName val="0"/>
          <c:showSerName val="0"/>
          <c:showPercent val="0"/>
          <c:showBubbleSize val="0"/>
        </c:dLbls>
        <c:gapWidth val="150"/>
        <c:axId val="194124800"/>
        <c:axId val="194131072"/>
      </c:barChart>
      <c:catAx>
        <c:axId val="194124800"/>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chemeClr val="accent1"/>
                    </a:solidFill>
                    <a:latin typeface="Calibri"/>
                    <a:ea typeface="Calibri"/>
                    <a:cs typeface="Calibri"/>
                  </a:defRPr>
                </a:pPr>
                <a:r>
                  <a:rPr lang="ar-QA" sz="1200" b="1" i="0" u="none" strike="noStrike" baseline="0">
                    <a:solidFill>
                      <a:schemeClr val="accent1"/>
                    </a:solidFill>
                    <a:latin typeface="Arial"/>
                    <a:cs typeface="Arial"/>
                  </a:rPr>
                  <a:t>الحالة التعلمية</a:t>
                </a:r>
              </a:p>
              <a:p>
                <a:pPr>
                  <a:defRPr sz="1100" b="0" i="0" u="none" strike="noStrike" baseline="0">
                    <a:solidFill>
                      <a:schemeClr val="accent1"/>
                    </a:solidFill>
                    <a:latin typeface="Calibri"/>
                    <a:ea typeface="Calibri"/>
                    <a:cs typeface="Calibri"/>
                  </a:defRPr>
                </a:pPr>
                <a:r>
                  <a:rPr lang="ar-QA" sz="1200" b="1" i="0" u="none" strike="noStrike" baseline="0">
                    <a:solidFill>
                      <a:schemeClr val="accent1"/>
                    </a:solidFill>
                    <a:latin typeface="Arial"/>
                    <a:cs typeface="Arial"/>
                  </a:rPr>
                  <a:t> </a:t>
                </a:r>
                <a:r>
                  <a:rPr lang="en-US" sz="1200" b="1" i="0" u="none" strike="noStrike" baseline="0">
                    <a:solidFill>
                      <a:schemeClr val="accent1"/>
                    </a:solidFill>
                    <a:latin typeface="Arial"/>
                    <a:cs typeface="Arial"/>
                  </a:rPr>
                  <a:t>Educational Status</a:t>
                </a:r>
              </a:p>
            </c:rich>
          </c:tx>
          <c:layout>
            <c:manualLayout>
              <c:xMode val="edge"/>
              <c:yMode val="edge"/>
              <c:x val="0.46194810394464508"/>
              <c:y val="0.90747526370524356"/>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chemeClr val="tx1"/>
                </a:solidFill>
                <a:latin typeface="Arial"/>
                <a:ea typeface="Arial"/>
                <a:cs typeface="Arial"/>
              </a:defRPr>
            </a:pPr>
            <a:endParaRPr lang="en-US"/>
          </a:p>
        </c:txPr>
        <c:crossAx val="194131072"/>
        <c:crosses val="autoZero"/>
        <c:auto val="1"/>
        <c:lblAlgn val="ctr"/>
        <c:lblOffset val="100"/>
        <c:tickLblSkip val="1"/>
        <c:tickMarkSkip val="1"/>
        <c:noMultiLvlLbl val="0"/>
      </c:catAx>
      <c:valAx>
        <c:axId val="194131072"/>
        <c:scaling>
          <c:orientation val="minMax"/>
        </c:scaling>
        <c:delete val="0"/>
        <c:axPos val="l"/>
        <c:majorGridlines>
          <c:spPr>
            <a:ln w="19050">
              <a:solidFill>
                <a:schemeClr val="bg1">
                  <a:lumMod val="85000"/>
                </a:schemeClr>
              </a:solidFill>
            </a:ln>
          </c:spPr>
        </c:majorGridlines>
        <c:numFmt formatCode="#,##0" sourceLinked="0"/>
        <c:majorTickMark val="out"/>
        <c:minorTickMark val="none"/>
        <c:tickLblPos val="nextTo"/>
        <c:txPr>
          <a:bodyPr/>
          <a:lstStyle/>
          <a:p>
            <a:pPr>
              <a:defRPr>
                <a:solidFill>
                  <a:sysClr val="windowText" lastClr="000000"/>
                </a:solidFill>
                <a:latin typeface="Arial" pitchFamily="34" charset="0"/>
                <a:cs typeface="Arial" pitchFamily="34" charset="0"/>
              </a:defRPr>
            </a:pPr>
            <a:endParaRPr lang="en-US"/>
          </a:p>
        </c:txPr>
        <c:crossAx val="194124800"/>
        <c:crosses val="autoZero"/>
        <c:crossBetween val="between"/>
      </c:valAx>
      <c:spPr>
        <a:noFill/>
        <a:ln w="25400">
          <a:noFill/>
        </a:ln>
      </c:spPr>
    </c:plotArea>
    <c:legend>
      <c:legendPos val="r"/>
      <c:layout>
        <c:manualLayout>
          <c:xMode val="edge"/>
          <c:yMode val="edge"/>
          <c:x val="0.18481643184433122"/>
          <c:y val="0.22510572970831233"/>
          <c:w val="9.7956441885443765E-2"/>
          <c:h val="0.19258317238647071"/>
        </c:manualLayout>
      </c:layout>
      <c:overlay val="0"/>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ar-QA" sz="1400"/>
              <a:t>عقود الزواج حسب مهنة الزوج والزوجة</a:t>
            </a:r>
          </a:p>
          <a:p>
            <a:pPr>
              <a:defRPr sz="1200"/>
            </a:pPr>
            <a:r>
              <a:rPr lang="en-US" sz="1200"/>
              <a:t>MARRIAGES BY WIFE AND HUSBAND OCCUPATION</a:t>
            </a:r>
            <a:endParaRPr lang="ar-QA" sz="1200"/>
          </a:p>
          <a:p>
            <a:pPr>
              <a:defRPr sz="1200"/>
            </a:pPr>
            <a:r>
              <a:rPr lang="en-US" sz="1200"/>
              <a:t>2015</a:t>
            </a:r>
          </a:p>
        </c:rich>
      </c:tx>
      <c:overlay val="0"/>
    </c:title>
    <c:autoTitleDeleted val="0"/>
    <c:plotArea>
      <c:layout>
        <c:manualLayout>
          <c:layoutTarget val="inner"/>
          <c:xMode val="edge"/>
          <c:yMode val="edge"/>
          <c:x val="5.5257972063836848E-2"/>
          <c:y val="0.13810155309533675"/>
          <c:w val="0.92681944067336408"/>
          <c:h val="0.66168136877627126"/>
        </c:manualLayout>
      </c:layout>
      <c:barChart>
        <c:barDir val="col"/>
        <c:grouping val="clustered"/>
        <c:varyColors val="0"/>
        <c:ser>
          <c:idx val="0"/>
          <c:order val="0"/>
          <c:tx>
            <c:strRef>
              <c:f>'17-3'!$B$41</c:f>
              <c:strCache>
                <c:ptCount val="1"/>
                <c:pt idx="0">
                  <c:v>الزوج Husband</c:v>
                </c:pt>
              </c:strCache>
            </c:strRef>
          </c:tx>
          <c:invertIfNegative val="0"/>
          <c:cat>
            <c:strRef>
              <c:f>'17-3'!$A$42:$A$52</c:f>
              <c:strCache>
                <c:ptCount val="11"/>
                <c:pt idx="0">
                  <c:v>الكتبة
Clerks</c:v>
                </c:pt>
                <c:pt idx="1">
                  <c:v>الفنيون والاختصاصيون المساعدون
Technicians And Associate Professionals</c:v>
                </c:pt>
                <c:pt idx="2">
                  <c:v>الاختصاصيون
Professionals</c:v>
                </c:pt>
                <c:pt idx="3">
                  <c:v>المشرعون وموظفو الادارة العليا والمديرون
Legislators, Senior Officials And Managers</c:v>
                </c:pt>
                <c:pt idx="4">
                  <c:v>العاملون في الخدمات والباعة في المحلات التجارية والأسواق
Service Workers And Shop And Market Sales Workers</c:v>
                </c:pt>
                <c:pt idx="5">
                  <c:v>بدون مهنة
 No Occup</c:v>
                </c:pt>
                <c:pt idx="6">
                  <c:v>المهن العادية
 Elementary Occupations</c:v>
                </c:pt>
                <c:pt idx="7">
                  <c:v>مشغلو الالات والمعدات ومجمعوها
PLANT AND MACHINE OPERATORS AND ASSEMBLERS</c:v>
                </c:pt>
                <c:pt idx="8">
                  <c:v>العاملون في الحرف وما اليها من المهن
CRAFT AND RELATED TRADES WORKERS</c:v>
                </c:pt>
                <c:pt idx="9">
                  <c:v>العمال المهرة في الزراعة وصيدالاسماك
Skilled Agricultural And Fishery Workers</c:v>
                </c:pt>
                <c:pt idx="10">
                  <c:v>الأفراد الذين لم يصنفوا حسب المهنة
Not Known</c:v>
                </c:pt>
              </c:strCache>
            </c:strRef>
          </c:cat>
          <c:val>
            <c:numRef>
              <c:f>'17-3'!$B$42:$B$52</c:f>
              <c:numCache>
                <c:formatCode>General</c:formatCode>
                <c:ptCount val="11"/>
                <c:pt idx="0">
                  <c:v>478</c:v>
                </c:pt>
                <c:pt idx="1">
                  <c:v>387</c:v>
                </c:pt>
                <c:pt idx="2">
                  <c:v>220</c:v>
                </c:pt>
                <c:pt idx="3">
                  <c:v>139</c:v>
                </c:pt>
                <c:pt idx="4">
                  <c:v>164</c:v>
                </c:pt>
                <c:pt idx="5">
                  <c:v>105</c:v>
                </c:pt>
                <c:pt idx="6">
                  <c:v>42</c:v>
                </c:pt>
                <c:pt idx="7">
                  <c:v>20</c:v>
                </c:pt>
                <c:pt idx="8">
                  <c:v>12</c:v>
                </c:pt>
                <c:pt idx="9">
                  <c:v>0</c:v>
                </c:pt>
                <c:pt idx="10">
                  <c:v>0</c:v>
                </c:pt>
              </c:numCache>
            </c:numRef>
          </c:val>
        </c:ser>
        <c:ser>
          <c:idx val="1"/>
          <c:order val="1"/>
          <c:tx>
            <c:strRef>
              <c:f>'17-3'!$C$41</c:f>
              <c:strCache>
                <c:ptCount val="1"/>
                <c:pt idx="0">
                  <c:v>الزوجة Wife</c:v>
                </c:pt>
              </c:strCache>
            </c:strRef>
          </c:tx>
          <c:invertIfNegative val="0"/>
          <c:cat>
            <c:strRef>
              <c:f>'17-3'!$A$42:$A$52</c:f>
              <c:strCache>
                <c:ptCount val="11"/>
                <c:pt idx="0">
                  <c:v>الكتبة
Clerks</c:v>
                </c:pt>
                <c:pt idx="1">
                  <c:v>الفنيون والاختصاصيون المساعدون
Technicians And Associate Professionals</c:v>
                </c:pt>
                <c:pt idx="2">
                  <c:v>الاختصاصيون
Professionals</c:v>
                </c:pt>
                <c:pt idx="3">
                  <c:v>المشرعون وموظفو الادارة العليا والمديرون
Legislators, Senior Officials And Managers</c:v>
                </c:pt>
                <c:pt idx="4">
                  <c:v>العاملون في الخدمات والباعة في المحلات التجارية والأسواق
Service Workers And Shop And Market Sales Workers</c:v>
                </c:pt>
                <c:pt idx="5">
                  <c:v>بدون مهنة
 No Occup</c:v>
                </c:pt>
                <c:pt idx="6">
                  <c:v>المهن العادية
 Elementary Occupations</c:v>
                </c:pt>
                <c:pt idx="7">
                  <c:v>مشغلو الالات والمعدات ومجمعوها
PLANT AND MACHINE OPERATORS AND ASSEMBLERS</c:v>
                </c:pt>
                <c:pt idx="8">
                  <c:v>العاملون في الحرف وما اليها من المهن
CRAFT AND RELATED TRADES WORKERS</c:v>
                </c:pt>
                <c:pt idx="9">
                  <c:v>العمال المهرة في الزراعة وصيدالاسماك
Skilled Agricultural And Fishery Workers</c:v>
                </c:pt>
                <c:pt idx="10">
                  <c:v>الأفراد الذين لم يصنفوا حسب المهنة
Not Known</c:v>
                </c:pt>
              </c:strCache>
            </c:strRef>
          </c:cat>
          <c:val>
            <c:numRef>
              <c:f>'17-3'!$C$42:$C$52</c:f>
              <c:numCache>
                <c:formatCode>General</c:formatCode>
                <c:ptCount val="11"/>
                <c:pt idx="0">
                  <c:v>555</c:v>
                </c:pt>
                <c:pt idx="1">
                  <c:v>427</c:v>
                </c:pt>
                <c:pt idx="2">
                  <c:v>314</c:v>
                </c:pt>
                <c:pt idx="3">
                  <c:v>21</c:v>
                </c:pt>
                <c:pt idx="4">
                  <c:v>113</c:v>
                </c:pt>
                <c:pt idx="5">
                  <c:v>1934</c:v>
                </c:pt>
                <c:pt idx="6">
                  <c:v>29</c:v>
                </c:pt>
                <c:pt idx="7">
                  <c:v>0</c:v>
                </c:pt>
                <c:pt idx="8">
                  <c:v>3</c:v>
                </c:pt>
                <c:pt idx="9">
                  <c:v>0</c:v>
                </c:pt>
                <c:pt idx="10">
                  <c:v>0</c:v>
                </c:pt>
              </c:numCache>
            </c:numRef>
          </c:val>
        </c:ser>
        <c:dLbls>
          <c:showLegendKey val="0"/>
          <c:showVal val="0"/>
          <c:showCatName val="0"/>
          <c:showSerName val="0"/>
          <c:showPercent val="0"/>
          <c:showBubbleSize val="0"/>
        </c:dLbls>
        <c:gapWidth val="150"/>
        <c:axId val="194832256"/>
        <c:axId val="194833792"/>
      </c:barChart>
      <c:catAx>
        <c:axId val="194832256"/>
        <c:scaling>
          <c:orientation val="minMax"/>
        </c:scaling>
        <c:delete val="0"/>
        <c:axPos val="b"/>
        <c:majorTickMark val="out"/>
        <c:minorTickMark val="none"/>
        <c:tickLblPos val="nextTo"/>
        <c:txPr>
          <a:bodyPr/>
          <a:lstStyle/>
          <a:p>
            <a:pPr>
              <a:defRPr sz="800"/>
            </a:pPr>
            <a:endParaRPr lang="en-US"/>
          </a:p>
        </c:txPr>
        <c:crossAx val="194833792"/>
        <c:crosses val="autoZero"/>
        <c:auto val="1"/>
        <c:lblAlgn val="ctr"/>
        <c:lblOffset val="100"/>
        <c:noMultiLvlLbl val="0"/>
      </c:catAx>
      <c:valAx>
        <c:axId val="19483379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194832256"/>
        <c:crosses val="autoZero"/>
        <c:crossBetween val="between"/>
      </c:valAx>
      <c:spPr>
        <a:ln>
          <a:noFill/>
        </a:ln>
      </c:spPr>
    </c:plotArea>
    <c:legend>
      <c:legendPos val="r"/>
      <c:layout>
        <c:manualLayout>
          <c:xMode val="edge"/>
          <c:yMode val="edge"/>
          <c:x val="0.68169427097474888"/>
          <c:y val="0.14640873838138654"/>
          <c:w val="0.24627507768425499"/>
          <c:h val="7.8109841532966268E-2"/>
        </c:manualLayout>
      </c:layout>
      <c:overlay val="0"/>
      <c:txPr>
        <a:bodyPr/>
        <a:lstStyle/>
        <a:p>
          <a:pPr>
            <a:defRPr b="1"/>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عقود الزواج حسب عدد أبناء الزوجة وجنسية الزوج والزوجة</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by Number of Wife's Children &amp; Natioanltiy of Husband &amp; Wife</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2015</a:t>
            </a:r>
          </a:p>
        </c:rich>
      </c:tx>
      <c:layout>
        <c:manualLayout>
          <c:xMode val="edge"/>
          <c:yMode val="edge"/>
          <c:x val="0.17359918102582847"/>
          <c:y val="1.9526759155106078E-2"/>
        </c:manualLayout>
      </c:layout>
      <c:overlay val="0"/>
      <c:spPr>
        <a:noFill/>
        <a:ln w="25400">
          <a:noFill/>
        </a:ln>
      </c:spPr>
    </c:title>
    <c:autoTitleDeleted val="0"/>
    <c:plotArea>
      <c:layout>
        <c:manualLayout>
          <c:layoutTarget val="inner"/>
          <c:xMode val="edge"/>
          <c:yMode val="edge"/>
          <c:x val="6.8599802910419921E-2"/>
          <c:y val="0.15172983377078197"/>
          <c:w val="0.93850794737614318"/>
          <c:h val="0.6702210168934436"/>
        </c:manualLayout>
      </c:layout>
      <c:barChart>
        <c:barDir val="col"/>
        <c:grouping val="clustered"/>
        <c:varyColors val="0"/>
        <c:ser>
          <c:idx val="0"/>
          <c:order val="0"/>
          <c:tx>
            <c:strRef>
              <c:f>'20'!$B$25</c:f>
              <c:strCache>
                <c:ptCount val="1"/>
                <c:pt idx="0">
                  <c:v>عدد الحالات
No. of cases</c:v>
                </c:pt>
              </c:strCache>
            </c:strRef>
          </c:tx>
          <c:spPr>
            <a:solidFill>
              <a:schemeClr val="accent3">
                <a:lumMod val="60000"/>
                <a:lumOff val="40000"/>
              </a:schemeClr>
            </a:solidFill>
            <a:scene3d>
              <a:camera prst="orthographicFront"/>
              <a:lightRig rig="threePt" dir="t">
                <a:rot lat="0" lon="0" rev="1200000"/>
              </a:lightRig>
            </a:scene3d>
            <a:sp3d/>
          </c:spPr>
          <c:invertIfNegative val="0"/>
          <c:dLbls>
            <c:txPr>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dLbls>
          <c:cat>
            <c:strRef>
              <c:f>'20'!$A$26:$A$29</c:f>
              <c:strCache>
                <c:ptCount val="4"/>
                <c:pt idx="0">
                  <c:v>الزوج قطري والزوجة قطرية
Qatari Husband &amp; Qatari Wife</c:v>
                </c:pt>
                <c:pt idx="1">
                  <c:v>الزوج قطري والزوجة غير قطرية
Qatari Husband &amp; Non-Qatari Wife</c:v>
                </c:pt>
                <c:pt idx="2">
                  <c:v>الزوج غير قطري والزوجة قطرية
Non-Qatari Husband &amp; Qatari Wife</c:v>
                </c:pt>
                <c:pt idx="3">
                  <c:v>الزوج غير قطري والزوجة غير قطرية
Non-Qatari Husband &amp; Non-Qatari Wife</c:v>
                </c:pt>
              </c:strCache>
            </c:strRef>
          </c:cat>
          <c:val>
            <c:numRef>
              <c:f>'20'!$B$26:$B$29</c:f>
              <c:numCache>
                <c:formatCode>#,##0</c:formatCode>
                <c:ptCount val="4"/>
                <c:pt idx="0">
                  <c:v>1797</c:v>
                </c:pt>
                <c:pt idx="1">
                  <c:v>272</c:v>
                </c:pt>
                <c:pt idx="2">
                  <c:v>196</c:v>
                </c:pt>
                <c:pt idx="3">
                  <c:v>1459</c:v>
                </c:pt>
              </c:numCache>
            </c:numRef>
          </c:val>
        </c:ser>
        <c:ser>
          <c:idx val="1"/>
          <c:order val="1"/>
          <c:tx>
            <c:strRef>
              <c:f>'20'!$C$25</c:f>
              <c:strCache>
                <c:ptCount val="1"/>
                <c:pt idx="0">
                  <c:v>عدد الأبناء
No. of Children</c:v>
                </c:pt>
              </c:strCache>
            </c:strRef>
          </c:tx>
          <c:spPr>
            <a:solidFill>
              <a:schemeClr val="tx2"/>
            </a:solidFill>
            <a:scene3d>
              <a:camera prst="orthographicFront"/>
              <a:lightRig rig="threePt" dir="t">
                <a:rot lat="0" lon="0" rev="1200000"/>
              </a:lightRig>
            </a:scene3d>
            <a:sp3d/>
          </c:spPr>
          <c:invertIfNegative val="0"/>
          <c:dLbls>
            <c:txPr>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dLbls>
          <c:cat>
            <c:strRef>
              <c:f>'20'!$A$26:$A$29</c:f>
              <c:strCache>
                <c:ptCount val="4"/>
                <c:pt idx="0">
                  <c:v>الزوج قطري والزوجة قطرية
Qatari Husband &amp; Qatari Wife</c:v>
                </c:pt>
                <c:pt idx="1">
                  <c:v>الزوج قطري والزوجة غير قطرية
Qatari Husband &amp; Non-Qatari Wife</c:v>
                </c:pt>
                <c:pt idx="2">
                  <c:v>الزوج غير قطري والزوجة قطرية
Non-Qatari Husband &amp; Qatari Wife</c:v>
                </c:pt>
                <c:pt idx="3">
                  <c:v>الزوج غير قطري والزوجة غير قطرية
Non-Qatari Husband &amp; Non-Qatari Wife</c:v>
                </c:pt>
              </c:strCache>
            </c:strRef>
          </c:cat>
          <c:val>
            <c:numRef>
              <c:f>'20'!$C$26:$C$29</c:f>
              <c:numCache>
                <c:formatCode>#,##0</c:formatCode>
                <c:ptCount val="4"/>
                <c:pt idx="0">
                  <c:v>282</c:v>
                </c:pt>
                <c:pt idx="1">
                  <c:v>30</c:v>
                </c:pt>
                <c:pt idx="2">
                  <c:v>37</c:v>
                </c:pt>
                <c:pt idx="3">
                  <c:v>168</c:v>
                </c:pt>
              </c:numCache>
            </c:numRef>
          </c:val>
        </c:ser>
        <c:dLbls>
          <c:showLegendKey val="0"/>
          <c:showVal val="1"/>
          <c:showCatName val="0"/>
          <c:showSerName val="0"/>
          <c:showPercent val="0"/>
          <c:showBubbleSize val="0"/>
        </c:dLbls>
        <c:gapWidth val="150"/>
        <c:axId val="195837312"/>
        <c:axId val="195839488"/>
      </c:barChart>
      <c:catAx>
        <c:axId val="195837312"/>
        <c:scaling>
          <c:orientation val="minMax"/>
        </c:scaling>
        <c:delete val="0"/>
        <c:axPos val="b"/>
        <c:majorGridlines>
          <c:spPr>
            <a:ln>
              <a:solidFill>
                <a:schemeClr val="bg1">
                  <a:lumMod val="85000"/>
                </a:schemeClr>
              </a:solidFill>
            </a:ln>
          </c:spPr>
        </c:majorGridlines>
        <c:title>
          <c:tx>
            <c:rich>
              <a:bodyPr/>
              <a:lstStyle/>
              <a:p>
                <a:pPr>
                  <a:defRPr sz="1100" b="0" i="0" u="none" strike="noStrike" baseline="0">
                    <a:solidFill>
                      <a:schemeClr val="accent1"/>
                    </a:solidFill>
                    <a:latin typeface="Calibri"/>
                    <a:ea typeface="Calibri"/>
                    <a:cs typeface="Calibri"/>
                  </a:defRPr>
                </a:pPr>
                <a:r>
                  <a:rPr lang="en-US" sz="1200" b="1" i="0" u="none" strike="noStrike" baseline="0">
                    <a:solidFill>
                      <a:schemeClr val="accent1"/>
                    </a:solidFill>
                    <a:latin typeface="Arial"/>
                    <a:cs typeface="Arial"/>
                  </a:rPr>
                  <a:t>Nationality</a:t>
                </a:r>
                <a:r>
                  <a:rPr lang="en-US" sz="1200" b="1" i="0" u="none" strike="noStrike" baseline="0">
                    <a:solidFill>
                      <a:schemeClr val="accent1"/>
                    </a:solidFill>
                    <a:latin typeface="Calibri"/>
                  </a:rPr>
                  <a:t> </a:t>
                </a:r>
                <a:r>
                  <a:rPr lang="ar-QA" sz="1200" b="1" i="0" u="none" strike="noStrike" baseline="0">
                    <a:solidFill>
                      <a:schemeClr val="accent1"/>
                    </a:solidFill>
                    <a:latin typeface="Calibri"/>
                  </a:rPr>
                  <a:t>الجنسية</a:t>
                </a:r>
              </a:p>
            </c:rich>
          </c:tx>
          <c:layout>
            <c:manualLayout>
              <c:xMode val="edge"/>
              <c:yMode val="edge"/>
              <c:x val="0.45839336911562312"/>
              <c:y val="0.95394055743033512"/>
            </c:manualLayout>
          </c:layout>
          <c:overlay val="0"/>
          <c:spPr>
            <a:noFill/>
            <a:ln w="25400">
              <a:noFill/>
            </a:ln>
          </c:spPr>
        </c:title>
        <c:numFmt formatCode="General" sourceLinked="1"/>
        <c:majorTickMark val="out"/>
        <c:minorTickMark val="none"/>
        <c:tickLblPos val="nextTo"/>
        <c:txPr>
          <a:bodyPr rot="0" vert="horz"/>
          <a:lstStyle/>
          <a:p>
            <a:pPr>
              <a:defRPr sz="1100" b="0" i="0" u="none" strike="noStrike" baseline="0">
                <a:solidFill>
                  <a:sysClr val="windowText" lastClr="000000"/>
                </a:solidFill>
                <a:latin typeface="Arial"/>
                <a:ea typeface="Arial"/>
                <a:cs typeface="Arial"/>
              </a:defRPr>
            </a:pPr>
            <a:endParaRPr lang="en-US"/>
          </a:p>
        </c:txPr>
        <c:crossAx val="195839488"/>
        <c:crosses val="autoZero"/>
        <c:auto val="1"/>
        <c:lblAlgn val="ctr"/>
        <c:lblOffset val="100"/>
        <c:tickLblSkip val="1"/>
        <c:tickMarkSkip val="1"/>
        <c:noMultiLvlLbl val="0"/>
      </c:catAx>
      <c:valAx>
        <c:axId val="195839488"/>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a:latin typeface="Arial" pitchFamily="34" charset="0"/>
                <a:cs typeface="Arial" pitchFamily="34" charset="0"/>
              </a:defRPr>
            </a:pPr>
            <a:endParaRPr lang="en-US"/>
          </a:p>
        </c:txPr>
        <c:crossAx val="195837312"/>
        <c:crosses val="autoZero"/>
        <c:crossBetween val="between"/>
      </c:valAx>
    </c:plotArea>
    <c:legend>
      <c:legendPos val="r"/>
      <c:layout>
        <c:manualLayout>
          <c:xMode val="edge"/>
          <c:yMode val="edge"/>
          <c:x val="0.32735201538448633"/>
          <c:y val="0.17289338832646509"/>
          <c:w val="0.14543386815408704"/>
          <c:h val="0.23645364329458818"/>
        </c:manualLayout>
      </c:layout>
      <c:overlay val="0"/>
      <c:spPr>
        <a:noFill/>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19685039370078738" l="0.15748031496063086" r="0.15748031496063086" t="0.5905511811023531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معدل الطـــلاق العام</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GENERAL RATE</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2006 - 2015</a:t>
            </a:r>
          </a:p>
        </c:rich>
      </c:tx>
      <c:layout>
        <c:manualLayout>
          <c:xMode val="edge"/>
          <c:yMode val="edge"/>
          <c:x val="0.37823988103182032"/>
          <c:y val="1.3295696528499558E-2"/>
        </c:manualLayout>
      </c:layout>
      <c:overlay val="0"/>
      <c:spPr>
        <a:noFill/>
        <a:ln w="25400">
          <a:noFill/>
        </a:ln>
      </c:spPr>
    </c:title>
    <c:autoTitleDeleted val="0"/>
    <c:plotArea>
      <c:layout>
        <c:manualLayout>
          <c:layoutTarget val="inner"/>
          <c:xMode val="edge"/>
          <c:yMode val="edge"/>
          <c:x val="6.6870158179379247E-2"/>
          <c:y val="0.15758102393397766"/>
          <c:w val="0.90928460213660001"/>
          <c:h val="0.72661298469766356"/>
        </c:manualLayout>
      </c:layout>
      <c:lineChart>
        <c:grouping val="standard"/>
        <c:varyColors val="0"/>
        <c:ser>
          <c:idx val="1"/>
          <c:order val="0"/>
          <c:tx>
            <c:strRef>
              <c:f>'21'!$L$7:$M$7</c:f>
              <c:strCache>
                <c:ptCount val="1"/>
                <c:pt idx="0">
                  <c:v>الإناث Females</c:v>
                </c:pt>
              </c:strCache>
            </c:strRef>
          </c:tx>
          <c:dLbls>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dLbls>
          <c:cat>
            <c:numRef>
              <c:f>'21'!$N$9:$N$18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'21'!$M$9:$M$18</c:f>
              <c:numCache>
                <c:formatCode>0.0</c:formatCode>
                <c:ptCount val="10"/>
                <c:pt idx="0">
                  <c:v>4.2617960426179602</c:v>
                </c:pt>
                <c:pt idx="1">
                  <c:v>4.6644365950080706</c:v>
                </c:pt>
                <c:pt idx="2">
                  <c:v>3.9932637595366285</c:v>
                </c:pt>
                <c:pt idx="3">
                  <c:v>4.1780103922352358</c:v>
                </c:pt>
                <c:pt idx="4">
                  <c:v>3.8</c:v>
                </c:pt>
                <c:pt idx="5">
                  <c:v>3.475304324370101</c:v>
                </c:pt>
                <c:pt idx="6">
                  <c:v>4.0999999999999996</c:v>
                </c:pt>
                <c:pt idx="7">
                  <c:v>3.5</c:v>
                </c:pt>
                <c:pt idx="8">
                  <c:v>3.2309502925054239</c:v>
                </c:pt>
                <c:pt idx="9">
                  <c:v>3.0219233952823776</c:v>
                </c:pt>
              </c:numCache>
            </c:numRef>
          </c:val>
          <c:smooth val="0"/>
        </c:ser>
        <c:ser>
          <c:idx val="0"/>
          <c:order val="1"/>
          <c:tx>
            <c:strRef>
              <c:f>'21'!$J$7:$K$7</c:f>
              <c:strCache>
                <c:ptCount val="1"/>
                <c:pt idx="0">
                  <c:v>الذكور Males</c:v>
                </c:pt>
              </c:strCache>
            </c:strRef>
          </c:tx>
          <c:dLbls>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dLbls>
          <c:cat>
            <c:numRef>
              <c:f>'21'!$N$9:$N$18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'21'!$K$9:$K$18</c:f>
              <c:numCache>
                <c:formatCode>0.0</c:formatCode>
                <c:ptCount val="10"/>
                <c:pt idx="0">
                  <c:v>1.2708083325640789</c:v>
                </c:pt>
                <c:pt idx="1">
                  <c:v>1.2491730649720345</c:v>
                </c:pt>
                <c:pt idx="2">
                  <c:v>0.93915308195235825</c:v>
                </c:pt>
                <c:pt idx="3">
                  <c:v>0.96376236125257797</c:v>
                </c:pt>
                <c:pt idx="4">
                  <c:v>1</c:v>
                </c:pt>
                <c:pt idx="5">
                  <c:v>0.95748937299136794</c:v>
                </c:pt>
                <c:pt idx="6">
                  <c:v>1.2</c:v>
                </c:pt>
                <c:pt idx="7">
                  <c:v>1</c:v>
                </c:pt>
                <c:pt idx="8">
                  <c:v>0.88430707983645362</c:v>
                </c:pt>
                <c:pt idx="9">
                  <c:v>0.78362528921289132</c:v>
                </c:pt>
              </c:numCache>
            </c:numRef>
          </c:val>
          <c:smooth val="0"/>
        </c:ser>
        <c:dLbls>
          <c:showLegendKey val="0"/>
          <c:showVal val="1"/>
          <c:showCatName val="0"/>
          <c:showSerName val="0"/>
          <c:showPercent val="0"/>
          <c:showBubbleSize val="0"/>
        </c:dLbls>
        <c:marker val="1"/>
        <c:smooth val="0"/>
        <c:axId val="200381184"/>
        <c:axId val="200383104"/>
      </c:lineChart>
      <c:catAx>
        <c:axId val="200381184"/>
        <c:scaling>
          <c:orientation val="minMax"/>
        </c:scaling>
        <c:delete val="0"/>
        <c:axPos val="b"/>
        <c:majorGridlines>
          <c:spPr>
            <a:ln w="19050">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السنوات  </a:t>
                </a:r>
                <a:r>
                  <a:rPr lang="en-US" sz="1100" b="1" i="0" u="none" strike="noStrike" baseline="0">
                    <a:solidFill>
                      <a:srgbClr val="000000"/>
                    </a:solidFill>
                    <a:latin typeface="Arial"/>
                    <a:cs typeface="Arial"/>
                  </a:rPr>
                  <a:t>Years</a:t>
                </a:r>
              </a:p>
            </c:rich>
          </c:tx>
          <c:layout>
            <c:manualLayout>
              <c:xMode val="edge"/>
              <c:yMode val="edge"/>
              <c:x val="0.46679071895674051"/>
              <c:y val="0.94772683603230212"/>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rgbClr val="333399"/>
                </a:solidFill>
                <a:latin typeface="Arial"/>
                <a:ea typeface="Arial"/>
                <a:cs typeface="Arial"/>
              </a:defRPr>
            </a:pPr>
            <a:endParaRPr lang="en-US"/>
          </a:p>
        </c:txPr>
        <c:crossAx val="200383104"/>
        <c:crosses val="autoZero"/>
        <c:auto val="1"/>
        <c:lblAlgn val="ctr"/>
        <c:lblOffset val="100"/>
        <c:tickLblSkip val="1"/>
        <c:tickMarkSkip val="1"/>
        <c:noMultiLvlLbl val="0"/>
      </c:catAx>
      <c:valAx>
        <c:axId val="200383104"/>
        <c:scaling>
          <c:orientation val="minMax"/>
        </c:scaling>
        <c:delete val="0"/>
        <c:axPos val="l"/>
        <c:majorGridlines>
          <c:spPr>
            <a:ln w="190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en-US" sz="1200" b="1" i="0" u="none" strike="noStrike" baseline="0">
                    <a:solidFill>
                      <a:srgbClr val="000000"/>
                    </a:solidFill>
                    <a:latin typeface="Calibri"/>
                  </a:rPr>
                  <a:t>Rate</a:t>
                </a:r>
              </a:p>
            </c:rich>
          </c:tx>
          <c:layout>
            <c:manualLayout>
              <c:xMode val="edge"/>
              <c:yMode val="edge"/>
              <c:x val="1.1439248060094174E-2"/>
              <c:y val="4.1832912395384517E-2"/>
            </c:manualLayout>
          </c:layout>
          <c:overlay val="0"/>
          <c:spPr>
            <a:noFill/>
            <a:ln w="25400">
              <a:noFill/>
            </a:ln>
          </c:spPr>
        </c:title>
        <c:numFmt formatCode="0.0" sourceLinked="1"/>
        <c:majorTickMark val="out"/>
        <c:minorTickMark val="none"/>
        <c:tickLblPos val="nextTo"/>
        <c:txPr>
          <a:bodyPr rot="0" vert="horz"/>
          <a:lstStyle/>
          <a:p>
            <a:pPr>
              <a:defRPr sz="1000" b="1" i="0" u="none" strike="noStrike" baseline="0">
                <a:solidFill>
                  <a:srgbClr val="333399"/>
                </a:solidFill>
                <a:latin typeface="Arial"/>
                <a:ea typeface="Arial"/>
                <a:cs typeface="Arial"/>
              </a:defRPr>
            </a:pPr>
            <a:endParaRPr lang="en-US"/>
          </a:p>
        </c:txPr>
        <c:crossAx val="200381184"/>
        <c:crosses val="autoZero"/>
        <c:crossBetween val="between"/>
      </c:valAx>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43" l="0.70000000000000062" r="0.70000000000000062" t="0.75000000000001243"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6.xml"/></Relationships>
</file>

<file path=xl/drawings/_rels/drawing10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7.xml"/></Relationships>
</file>

<file path=xl/drawings/_rels/drawing10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8.xml"/></Relationships>
</file>

<file path=xl/drawings/_rels/drawing10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9.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20.xml"/></Relationships>
</file>

<file path=xl/drawings/_rels/drawing1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4.xml"/></Relationships>
</file>

<file path=xl/drawings/_rels/drawing1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2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22.xml"/></Relationships>
</file>

<file path=xl/drawings/_rels/drawing1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5.xml"/></Relationships>
</file>

<file path=xl/drawings/_rels/drawing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6.xml"/></Relationships>
</file>

<file path=xl/drawings/_rels/drawing3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3.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8.xml"/></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9.xml"/></Relationships>
</file>

<file path=xl/drawings/_rels/drawing5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0.xml"/></Relationships>
</file>

<file path=xl/drawings/_rels/drawing5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2.xml"/></Relationships>
</file>

<file path=xl/drawings/_rels/drawing6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2.xml"/></Relationships>
</file>

<file path=xl/drawings/_rels/drawing7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3.xml"/></Relationships>
</file>

<file path=xl/drawings/_rels/drawing8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3.xml"/></Relationships>
</file>

<file path=xl/drawings/_rels/drawing9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4.xml"/></Relationships>
</file>

<file path=xl/drawings/_rels/drawing9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0</xdr:col>
      <xdr:colOff>228599</xdr:colOff>
      <xdr:row>0</xdr:row>
      <xdr:rowOff>104775</xdr:rowOff>
    </xdr:from>
    <xdr:to>
      <xdr:col>10</xdr:col>
      <xdr:colOff>371475</xdr:colOff>
      <xdr:row>57</xdr:row>
      <xdr:rowOff>1790</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257" t="2936" r="3620" b="1894"/>
        <a:stretch/>
      </xdr:blipFill>
      <xdr:spPr>
        <a:xfrm>
          <a:off x="9981218925" y="104775"/>
          <a:ext cx="6238876" cy="91267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28575</xdr:colOff>
      <xdr:row>0</xdr:row>
      <xdr:rowOff>104775</xdr:rowOff>
    </xdr:from>
    <xdr:to>
      <xdr:col>13</xdr:col>
      <xdr:colOff>702944</xdr:colOff>
      <xdr:row>2</xdr:row>
      <xdr:rowOff>46342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372981" y="104775"/>
          <a:ext cx="674369" cy="589267"/>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21</xdr:col>
      <xdr:colOff>571500</xdr:colOff>
      <xdr:row>0</xdr:row>
      <xdr:rowOff>114300</xdr:rowOff>
    </xdr:from>
    <xdr:to>
      <xdr:col>21</xdr:col>
      <xdr:colOff>1245869</xdr:colOff>
      <xdr:row>2</xdr:row>
      <xdr:rowOff>227317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4381881" y="114300"/>
          <a:ext cx="674369" cy="589267"/>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76200</xdr:colOff>
      <xdr:row>0</xdr:row>
      <xdr:rowOff>9525</xdr:rowOff>
    </xdr:from>
    <xdr:to>
      <xdr:col>13</xdr:col>
      <xdr:colOff>504825</xdr:colOff>
      <xdr:row>34</xdr:row>
      <xdr:rowOff>66675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266700</xdr:colOff>
      <xdr:row>1</xdr:row>
      <xdr:rowOff>19050</xdr:rowOff>
    </xdr:from>
    <xdr:to>
      <xdr:col>13</xdr:col>
      <xdr:colOff>331469</xdr:colOff>
      <xdr:row>4</xdr:row>
      <xdr:rowOff>122542</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430131" y="180975"/>
          <a:ext cx="674369" cy="589267"/>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13</xdr:col>
      <xdr:colOff>581025</xdr:colOff>
      <xdr:row>0</xdr:row>
      <xdr:rowOff>133350</xdr:rowOff>
    </xdr:from>
    <xdr:to>
      <xdr:col>13</xdr:col>
      <xdr:colOff>1255394</xdr:colOff>
      <xdr:row>3</xdr:row>
      <xdr:rowOff>17767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96781" y="133350"/>
          <a:ext cx="674369" cy="589267"/>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57150</xdr:colOff>
      <xdr:row>0</xdr:row>
      <xdr:rowOff>0</xdr:rowOff>
    </xdr:from>
    <xdr:to>
      <xdr:col>13</xdr:col>
      <xdr:colOff>514350</xdr:colOff>
      <xdr:row>34</xdr:row>
      <xdr:rowOff>123825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257175</xdr:colOff>
      <xdr:row>0</xdr:row>
      <xdr:rowOff>152400</xdr:rowOff>
    </xdr:from>
    <xdr:to>
      <xdr:col>13</xdr:col>
      <xdr:colOff>321944</xdr:colOff>
      <xdr:row>4</xdr:row>
      <xdr:rowOff>93967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439656" y="152400"/>
          <a:ext cx="674369" cy="589267"/>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13</xdr:col>
      <xdr:colOff>581025</xdr:colOff>
      <xdr:row>0</xdr:row>
      <xdr:rowOff>142875</xdr:rowOff>
    </xdr:from>
    <xdr:to>
      <xdr:col>13</xdr:col>
      <xdr:colOff>1255394</xdr:colOff>
      <xdr:row>3</xdr:row>
      <xdr:rowOff>27292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96781" y="142875"/>
          <a:ext cx="674369" cy="589267"/>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85725</xdr:colOff>
      <xdr:row>0</xdr:row>
      <xdr:rowOff>0</xdr:rowOff>
    </xdr:from>
    <xdr:to>
      <xdr:col>13</xdr:col>
      <xdr:colOff>561975</xdr:colOff>
      <xdr:row>34</xdr:row>
      <xdr:rowOff>85725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323850</xdr:colOff>
      <xdr:row>0</xdr:row>
      <xdr:rowOff>38100</xdr:rowOff>
    </xdr:from>
    <xdr:to>
      <xdr:col>13</xdr:col>
      <xdr:colOff>388619</xdr:colOff>
      <xdr:row>3</xdr:row>
      <xdr:rowOff>141592</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372981" y="38100"/>
          <a:ext cx="674369" cy="589267"/>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14</xdr:col>
      <xdr:colOff>352425</xdr:colOff>
      <xdr:row>0</xdr:row>
      <xdr:rowOff>142875</xdr:rowOff>
    </xdr:from>
    <xdr:to>
      <xdr:col>14</xdr:col>
      <xdr:colOff>1026794</xdr:colOff>
      <xdr:row>3</xdr:row>
      <xdr:rowOff>27292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8706231" y="142875"/>
          <a:ext cx="674369" cy="589267"/>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66676</xdr:colOff>
      <xdr:row>0</xdr:row>
      <xdr:rowOff>142875</xdr:rowOff>
    </xdr:from>
    <xdr:to>
      <xdr:col>13</xdr:col>
      <xdr:colOff>476251</xdr:colOff>
      <xdr:row>35</xdr:row>
      <xdr:rowOff>114300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200025</xdr:colOff>
      <xdr:row>1</xdr:row>
      <xdr:rowOff>28575</xdr:rowOff>
    </xdr:from>
    <xdr:to>
      <xdr:col>13</xdr:col>
      <xdr:colOff>264794</xdr:colOff>
      <xdr:row>4</xdr:row>
      <xdr:rowOff>132067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496806" y="190500"/>
          <a:ext cx="674369" cy="589267"/>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14</xdr:col>
      <xdr:colOff>314325</xdr:colOff>
      <xdr:row>0</xdr:row>
      <xdr:rowOff>133350</xdr:rowOff>
    </xdr:from>
    <xdr:to>
      <xdr:col>14</xdr:col>
      <xdr:colOff>988694</xdr:colOff>
      <xdr:row>3</xdr:row>
      <xdr:rowOff>17767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8744331" y="133350"/>
          <a:ext cx="674369" cy="589267"/>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66676</xdr:colOff>
      <xdr:row>0</xdr:row>
      <xdr:rowOff>142875</xdr:rowOff>
    </xdr:from>
    <xdr:to>
      <xdr:col>13</xdr:col>
      <xdr:colOff>476251</xdr:colOff>
      <xdr:row>35</xdr:row>
      <xdr:rowOff>114300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219075</xdr:colOff>
      <xdr:row>0</xdr:row>
      <xdr:rowOff>142875</xdr:rowOff>
    </xdr:from>
    <xdr:to>
      <xdr:col>13</xdr:col>
      <xdr:colOff>283844</xdr:colOff>
      <xdr:row>4</xdr:row>
      <xdr:rowOff>84442</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477756" y="142875"/>
          <a:ext cx="674369" cy="5892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19050</xdr:colOff>
      <xdr:row>1</xdr:row>
      <xdr:rowOff>123825</xdr:rowOff>
    </xdr:from>
    <xdr:to>
      <xdr:col>12</xdr:col>
      <xdr:colOff>571500</xdr:colOff>
      <xdr:row>32</xdr:row>
      <xdr:rowOff>152400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428625</xdr:colOff>
      <xdr:row>0</xdr:row>
      <xdr:rowOff>85725</xdr:rowOff>
    </xdr:from>
    <xdr:to>
      <xdr:col>12</xdr:col>
      <xdr:colOff>493394</xdr:colOff>
      <xdr:row>3</xdr:row>
      <xdr:rowOff>17767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877806" y="85725"/>
          <a:ext cx="674369" cy="589267"/>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14</xdr:col>
      <xdr:colOff>400050</xdr:colOff>
      <xdr:row>0</xdr:row>
      <xdr:rowOff>180975</xdr:rowOff>
    </xdr:from>
    <xdr:to>
      <xdr:col>14</xdr:col>
      <xdr:colOff>1074419</xdr:colOff>
      <xdr:row>3</xdr:row>
      <xdr:rowOff>65392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8658606" y="180975"/>
          <a:ext cx="674369" cy="589267"/>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66676</xdr:colOff>
      <xdr:row>0</xdr:row>
      <xdr:rowOff>142875</xdr:rowOff>
    </xdr:from>
    <xdr:to>
      <xdr:col>13</xdr:col>
      <xdr:colOff>476251</xdr:colOff>
      <xdr:row>35</xdr:row>
      <xdr:rowOff>114300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257175</xdr:colOff>
      <xdr:row>1</xdr:row>
      <xdr:rowOff>47625</xdr:rowOff>
    </xdr:from>
    <xdr:to>
      <xdr:col>13</xdr:col>
      <xdr:colOff>321944</xdr:colOff>
      <xdr:row>4</xdr:row>
      <xdr:rowOff>151117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439656" y="209550"/>
          <a:ext cx="674369" cy="589267"/>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11</xdr:col>
      <xdr:colOff>857250</xdr:colOff>
      <xdr:row>0</xdr:row>
      <xdr:rowOff>114300</xdr:rowOff>
    </xdr:from>
    <xdr:to>
      <xdr:col>11</xdr:col>
      <xdr:colOff>1531619</xdr:colOff>
      <xdr:row>2</xdr:row>
      <xdr:rowOff>170167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0487406" y="114300"/>
          <a:ext cx="674369" cy="589267"/>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11</xdr:col>
      <xdr:colOff>904875</xdr:colOff>
      <xdr:row>0</xdr:row>
      <xdr:rowOff>85725</xdr:rowOff>
    </xdr:from>
    <xdr:to>
      <xdr:col>11</xdr:col>
      <xdr:colOff>1579244</xdr:colOff>
      <xdr:row>2</xdr:row>
      <xdr:rowOff>141592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0439781" y="85725"/>
          <a:ext cx="674369" cy="589267"/>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11</xdr:col>
      <xdr:colOff>904875</xdr:colOff>
      <xdr:row>0</xdr:row>
      <xdr:rowOff>104775</xdr:rowOff>
    </xdr:from>
    <xdr:to>
      <xdr:col>11</xdr:col>
      <xdr:colOff>1579244</xdr:colOff>
      <xdr:row>2</xdr:row>
      <xdr:rowOff>160642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0439781" y="104775"/>
          <a:ext cx="674369" cy="589267"/>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13</xdr:col>
      <xdr:colOff>866775</xdr:colOff>
      <xdr:row>0</xdr:row>
      <xdr:rowOff>76200</xdr:rowOff>
    </xdr:from>
    <xdr:to>
      <xdr:col>13</xdr:col>
      <xdr:colOff>1541144</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58681" y="76200"/>
          <a:ext cx="674369" cy="589267"/>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47625</xdr:colOff>
      <xdr:row>0</xdr:row>
      <xdr:rowOff>85725</xdr:rowOff>
    </xdr:from>
    <xdr:to>
      <xdr:col>12</xdr:col>
      <xdr:colOff>571500</xdr:colOff>
      <xdr:row>31</xdr:row>
      <xdr:rowOff>66675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228600</xdr:colOff>
      <xdr:row>1</xdr:row>
      <xdr:rowOff>152400</xdr:rowOff>
    </xdr:from>
    <xdr:to>
      <xdr:col>12</xdr:col>
      <xdr:colOff>293369</xdr:colOff>
      <xdr:row>5</xdr:row>
      <xdr:rowOff>93967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80077831" y="314325"/>
          <a:ext cx="674369" cy="589267"/>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11</xdr:col>
      <xdr:colOff>619125</xdr:colOff>
      <xdr:row>0</xdr:row>
      <xdr:rowOff>123825</xdr:rowOff>
    </xdr:from>
    <xdr:to>
      <xdr:col>11</xdr:col>
      <xdr:colOff>1293494</xdr:colOff>
      <xdr:row>1</xdr:row>
      <xdr:rowOff>408292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0458831" y="123825"/>
          <a:ext cx="674369" cy="589267"/>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4</xdr:col>
      <xdr:colOff>1133475</xdr:colOff>
      <xdr:row>0</xdr:row>
      <xdr:rowOff>123825</xdr:rowOff>
    </xdr:from>
    <xdr:to>
      <xdr:col>4</xdr:col>
      <xdr:colOff>1807844</xdr:colOff>
      <xdr:row>1</xdr:row>
      <xdr:rowOff>408292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4716506" y="123825"/>
          <a:ext cx="674369" cy="589267"/>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4</xdr:col>
      <xdr:colOff>647700</xdr:colOff>
      <xdr:row>0</xdr:row>
      <xdr:rowOff>85725</xdr:rowOff>
    </xdr:from>
    <xdr:to>
      <xdr:col>4</xdr:col>
      <xdr:colOff>1322069</xdr:colOff>
      <xdr:row>1</xdr:row>
      <xdr:rowOff>370192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4706981" y="85725"/>
          <a:ext cx="674369" cy="5892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457200</xdr:colOff>
      <xdr:row>0</xdr:row>
      <xdr:rowOff>190500</xdr:rowOff>
    </xdr:from>
    <xdr:to>
      <xdr:col>4</xdr:col>
      <xdr:colOff>1131569</xdr:colOff>
      <xdr:row>2</xdr:row>
      <xdr:rowOff>84442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6897731" y="190500"/>
          <a:ext cx="674369" cy="589267"/>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542925</xdr:colOff>
      <xdr:row>18</xdr:row>
      <xdr:rowOff>38100</xdr:rowOff>
    </xdr:to>
    <xdr:grpSp>
      <xdr:nvGrpSpPr>
        <xdr:cNvPr id="2" name="Group 1"/>
        <xdr:cNvGrpSpPr>
          <a:grpSpLocks/>
        </xdr:cNvGrpSpPr>
      </xdr:nvGrpSpPr>
      <xdr:grpSpPr bwMode="auto">
        <a:xfrm flipH="1">
          <a:off x="9881898575" y="158750"/>
          <a:ext cx="4654550" cy="2736850"/>
          <a:chOff x="0" y="17"/>
          <a:chExt cx="490" cy="293"/>
        </a:xfrm>
      </xdr:grpSpPr>
      <xdr:pic>
        <xdr:nvPicPr>
          <xdr:cNvPr id="3" name="Picture 2" descr="bor0019"/>
          <xdr:cNvPicPr>
            <a:picLocks noChangeAspect="1" noChangeArrowheads="1"/>
          </xdr:cNvPicPr>
        </xdr:nvPicPr>
        <xdr:blipFill>
          <a:blip xmlns:r="http://schemas.openxmlformats.org/officeDocument/2006/relationships" r:embed="rId1" cstate="print"/>
          <a:srcRect/>
          <a:stretch>
            <a:fillRect/>
          </a:stretch>
        </xdr:blipFill>
        <xdr:spPr bwMode="auto">
          <a:xfrm>
            <a:off x="0" y="17"/>
            <a:ext cx="490" cy="293"/>
          </a:xfrm>
          <a:prstGeom prst="rect">
            <a:avLst/>
          </a:prstGeom>
          <a:noFill/>
          <a:ln w="9525">
            <a:noFill/>
            <a:miter lim="800000"/>
            <a:headEnd/>
            <a:tailEnd/>
          </a:ln>
        </xdr:spPr>
      </xdr:pic>
      <xdr:sp macro="" textlink="">
        <xdr:nvSpPr>
          <xdr:cNvPr id="4" name="Text Box 3"/>
          <xdr:cNvSpPr txBox="1">
            <a:spLocks noChangeArrowheads="1"/>
          </xdr:cNvSpPr>
        </xdr:nvSpPr>
        <xdr:spPr bwMode="auto">
          <a:xfrm>
            <a:off x="66" y="111"/>
            <a:ext cx="363" cy="152"/>
          </a:xfrm>
          <a:prstGeom prst="rect">
            <a:avLst/>
          </a:prstGeom>
          <a:noFill/>
          <a:ln w="9525">
            <a:noFill/>
            <a:miter lim="800000"/>
            <a:headEnd/>
            <a:tailEnd/>
          </a:ln>
        </xdr:spPr>
        <xdr:txBody>
          <a:bodyPr vertOverflow="clip" wrap="square" lIns="54864" tIns="68580" rIns="54864" bIns="0" anchor="t" upright="1"/>
          <a:lstStyle/>
          <a:p>
            <a:pPr algn="ctr" rtl="0">
              <a:defRPr sz="1000"/>
            </a:pPr>
            <a:r>
              <a:rPr lang="ar-QA" sz="2800" b="0" i="0" strike="noStrike">
                <a:solidFill>
                  <a:srgbClr val="0000FF"/>
                </a:solidFill>
                <a:cs typeface="Hesham Bold"/>
              </a:rPr>
              <a:t>المـــــلاحق</a:t>
            </a:r>
            <a:endParaRPr lang="ar-QA" sz="1000" b="0" i="0" strike="noStrike">
              <a:solidFill>
                <a:srgbClr val="0000FF"/>
              </a:solidFill>
              <a:latin typeface="Arial"/>
              <a:cs typeface="Arial"/>
            </a:endParaRPr>
          </a:p>
          <a:p>
            <a:pPr algn="ctr" rtl="0">
              <a:defRPr sz="1000"/>
            </a:pPr>
            <a:r>
              <a:rPr lang="en-US" sz="2000" b="0" i="0" strike="noStrike">
                <a:solidFill>
                  <a:srgbClr val="0000FF"/>
                </a:solidFill>
                <a:latin typeface="Arial Black"/>
              </a:rPr>
              <a:t>ANNECS</a:t>
            </a:r>
          </a:p>
        </xdr:txBody>
      </xdr:sp>
    </xdr:grpSp>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84046</xdr:colOff>
      <xdr:row>1</xdr:row>
      <xdr:rowOff>172571</xdr:rowOff>
    </xdr:from>
    <xdr:to>
      <xdr:col>2</xdr:col>
      <xdr:colOff>1257301</xdr:colOff>
      <xdr:row>3</xdr:row>
      <xdr:rowOff>67796</xdr:rowOff>
    </xdr:to>
    <xdr:sp macro="" textlink="">
      <xdr:nvSpPr>
        <xdr:cNvPr id="2" name="Text Box 1"/>
        <xdr:cNvSpPr txBox="1">
          <a:spLocks noChangeArrowheads="1"/>
        </xdr:cNvSpPr>
      </xdr:nvSpPr>
      <xdr:spPr bwMode="auto">
        <a:xfrm>
          <a:off x="9987181574" y="982196"/>
          <a:ext cx="2392455" cy="276225"/>
        </a:xfrm>
        <a:prstGeom prst="rect">
          <a:avLst/>
        </a:prstGeom>
        <a:solidFill>
          <a:srgbClr val="FFFFFF"/>
        </a:solidFill>
        <a:ln w="38100" cmpd="dbl">
          <a:solidFill>
            <a:srgbClr val="000000"/>
          </a:solidFill>
          <a:miter lim="800000"/>
          <a:headEnd/>
          <a:tailEnd/>
        </a:ln>
      </xdr:spPr>
      <xdr:txBody>
        <a:bodyPr vertOverflow="clip" wrap="square" lIns="27432" tIns="22860" rIns="27432" bIns="22860" anchor="ctr" upright="1"/>
        <a:lstStyle/>
        <a:p>
          <a:pPr algn="ctr" rtl="0">
            <a:defRPr sz="1000"/>
          </a:pPr>
          <a:r>
            <a:rPr lang="ar-QA" sz="1000" b="1" i="0" strike="noStrike">
              <a:solidFill>
                <a:srgbClr val="000000"/>
              </a:solidFill>
              <a:latin typeface="Arial"/>
              <a:cs typeface="Arial"/>
            </a:rPr>
            <a:t>البيانات سرية بحكم قانون الإحصاء</a:t>
          </a:r>
        </a:p>
      </xdr:txBody>
    </xdr:sp>
    <xdr:clientData/>
  </xdr:twoCellAnchor>
  <xdr:twoCellAnchor>
    <xdr:from>
      <xdr:col>5</xdr:col>
      <xdr:colOff>712696</xdr:colOff>
      <xdr:row>2</xdr:row>
      <xdr:rowOff>1121</xdr:rowOff>
    </xdr:from>
    <xdr:to>
      <xdr:col>7</xdr:col>
      <xdr:colOff>276226</xdr:colOff>
      <xdr:row>3</xdr:row>
      <xdr:rowOff>86846</xdr:rowOff>
    </xdr:to>
    <xdr:sp macro="" textlink="">
      <xdr:nvSpPr>
        <xdr:cNvPr id="4" name="Text Box 1"/>
        <xdr:cNvSpPr txBox="1">
          <a:spLocks noChangeArrowheads="1"/>
        </xdr:cNvSpPr>
      </xdr:nvSpPr>
      <xdr:spPr bwMode="auto">
        <a:xfrm>
          <a:off x="9983142974" y="1001246"/>
          <a:ext cx="2392455" cy="276225"/>
        </a:xfrm>
        <a:prstGeom prst="rect">
          <a:avLst/>
        </a:prstGeom>
        <a:solidFill>
          <a:srgbClr val="FFFFFF"/>
        </a:solidFill>
        <a:ln w="38100" cmpd="dbl">
          <a:solidFill>
            <a:srgbClr val="000000"/>
          </a:solidFill>
          <a:miter lim="800000"/>
          <a:headEnd/>
          <a:tailEnd/>
        </a:ln>
      </xdr:spPr>
      <xdr:txBody>
        <a:bodyPr vertOverflow="clip" wrap="square" lIns="27432" tIns="22860" rIns="27432" bIns="22860" anchor="ctr" upright="1"/>
        <a:lstStyle/>
        <a:p>
          <a:pPr algn="ctr" rtl="0"/>
          <a:r>
            <a:rPr lang="en-US" sz="800" b="1" i="0">
              <a:latin typeface="+mn-lt"/>
              <a:ea typeface="+mn-ea"/>
              <a:cs typeface="+mn-cs"/>
            </a:rPr>
            <a:t>Data</a:t>
          </a:r>
          <a:r>
            <a:rPr lang="en-US" sz="800" b="1" i="0" baseline="0">
              <a:latin typeface="+mn-lt"/>
              <a:ea typeface="+mn-ea"/>
              <a:cs typeface="+mn-cs"/>
            </a:rPr>
            <a:t> are confidential by virtue of the Statistics Law</a:t>
          </a:r>
          <a:endParaRPr lang="en-US" sz="800">
            <a:latin typeface="+mn-lt"/>
            <a:ea typeface="+mn-ea"/>
            <a:cs typeface="+mn-cs"/>
          </a:endParaRPr>
        </a:p>
      </xdr:txBody>
    </xdr:sp>
    <xdr:clientData/>
  </xdr:twoCellAnchor>
  <xdr:twoCellAnchor editAs="oneCell">
    <xdr:from>
      <xdr:col>6</xdr:col>
      <xdr:colOff>733425</xdr:colOff>
      <xdr:row>0</xdr:row>
      <xdr:rowOff>66675</xdr:rowOff>
    </xdr:from>
    <xdr:to>
      <xdr:col>7</xdr:col>
      <xdr:colOff>455294</xdr:colOff>
      <xdr:row>0</xdr:row>
      <xdr:rowOff>797433</xdr:rowOff>
    </xdr:to>
    <xdr:pic>
      <xdr:nvPicPr>
        <xdr:cNvPr id="5" name="Picture 4"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963906" y="66675"/>
          <a:ext cx="836294" cy="730758"/>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84046</xdr:colOff>
      <xdr:row>1</xdr:row>
      <xdr:rowOff>172571</xdr:rowOff>
    </xdr:from>
    <xdr:to>
      <xdr:col>2</xdr:col>
      <xdr:colOff>1257301</xdr:colOff>
      <xdr:row>3</xdr:row>
      <xdr:rowOff>67796</xdr:rowOff>
    </xdr:to>
    <xdr:sp macro="" textlink="">
      <xdr:nvSpPr>
        <xdr:cNvPr id="2" name="Text Box 1"/>
        <xdr:cNvSpPr txBox="1">
          <a:spLocks noChangeArrowheads="1"/>
        </xdr:cNvSpPr>
      </xdr:nvSpPr>
      <xdr:spPr bwMode="auto">
        <a:xfrm>
          <a:off x="9987181574" y="1048871"/>
          <a:ext cx="2392455" cy="276225"/>
        </a:xfrm>
        <a:prstGeom prst="rect">
          <a:avLst/>
        </a:prstGeom>
        <a:solidFill>
          <a:srgbClr val="FFFFFF"/>
        </a:solidFill>
        <a:ln w="38100" cmpd="dbl">
          <a:solidFill>
            <a:srgbClr val="000000"/>
          </a:solidFill>
          <a:miter lim="800000"/>
          <a:headEnd/>
          <a:tailEnd/>
        </a:ln>
      </xdr:spPr>
      <xdr:txBody>
        <a:bodyPr vertOverflow="clip" wrap="square" lIns="27432" tIns="22860" rIns="27432" bIns="22860" anchor="ctr" upright="1"/>
        <a:lstStyle/>
        <a:p>
          <a:pPr algn="ctr" rtl="0">
            <a:defRPr sz="1000"/>
          </a:pPr>
          <a:r>
            <a:rPr lang="ar-QA" sz="1000" b="1" i="0" strike="noStrike">
              <a:solidFill>
                <a:srgbClr val="000000"/>
              </a:solidFill>
              <a:latin typeface="Arial"/>
              <a:cs typeface="Arial"/>
            </a:rPr>
            <a:t>البيانات سرية بحكم قانون الإحصاء</a:t>
          </a:r>
        </a:p>
      </xdr:txBody>
    </xdr:sp>
    <xdr:clientData/>
  </xdr:twoCellAnchor>
  <xdr:twoCellAnchor>
    <xdr:from>
      <xdr:col>5</xdr:col>
      <xdr:colOff>712696</xdr:colOff>
      <xdr:row>2</xdr:row>
      <xdr:rowOff>1121</xdr:rowOff>
    </xdr:from>
    <xdr:to>
      <xdr:col>7</xdr:col>
      <xdr:colOff>276226</xdr:colOff>
      <xdr:row>3</xdr:row>
      <xdr:rowOff>86846</xdr:rowOff>
    </xdr:to>
    <xdr:sp macro="" textlink="">
      <xdr:nvSpPr>
        <xdr:cNvPr id="4" name="Text Box 1"/>
        <xdr:cNvSpPr txBox="1">
          <a:spLocks noChangeArrowheads="1"/>
        </xdr:cNvSpPr>
      </xdr:nvSpPr>
      <xdr:spPr bwMode="auto">
        <a:xfrm>
          <a:off x="9983142974" y="1067921"/>
          <a:ext cx="2392455" cy="276225"/>
        </a:xfrm>
        <a:prstGeom prst="rect">
          <a:avLst/>
        </a:prstGeom>
        <a:solidFill>
          <a:srgbClr val="FFFFFF"/>
        </a:solidFill>
        <a:ln w="38100" cmpd="dbl">
          <a:solidFill>
            <a:srgbClr val="000000"/>
          </a:solidFill>
          <a:miter lim="800000"/>
          <a:headEnd/>
          <a:tailEnd/>
        </a:ln>
      </xdr:spPr>
      <xdr:txBody>
        <a:bodyPr vertOverflow="clip" wrap="square" lIns="27432" tIns="22860" rIns="27432" bIns="22860" anchor="ctr" upright="1"/>
        <a:lstStyle/>
        <a:p>
          <a:pPr algn="ctr" rtl="0"/>
          <a:r>
            <a:rPr lang="en-US" sz="800" b="1" i="0">
              <a:latin typeface="+mn-lt"/>
              <a:ea typeface="+mn-ea"/>
              <a:cs typeface="+mn-cs"/>
            </a:rPr>
            <a:t>Data</a:t>
          </a:r>
          <a:r>
            <a:rPr lang="en-US" sz="800" b="1" i="0" baseline="0">
              <a:latin typeface="+mn-lt"/>
              <a:ea typeface="+mn-ea"/>
              <a:cs typeface="+mn-cs"/>
            </a:rPr>
            <a:t> are confidential by virtue of the Statistics Law</a:t>
          </a:r>
          <a:endParaRPr lang="en-US" sz="800">
            <a:latin typeface="+mn-lt"/>
            <a:ea typeface="+mn-ea"/>
            <a:cs typeface="+mn-cs"/>
          </a:endParaRPr>
        </a:p>
      </xdr:txBody>
    </xdr:sp>
    <xdr:clientData/>
  </xdr:twoCellAnchor>
  <xdr:twoCellAnchor editAs="oneCell">
    <xdr:from>
      <xdr:col>6</xdr:col>
      <xdr:colOff>754381</xdr:colOff>
      <xdr:row>0</xdr:row>
      <xdr:rowOff>114300</xdr:rowOff>
    </xdr:from>
    <xdr:to>
      <xdr:col>7</xdr:col>
      <xdr:colOff>476250</xdr:colOff>
      <xdr:row>0</xdr:row>
      <xdr:rowOff>845058</xdr:rowOff>
    </xdr:to>
    <xdr:pic>
      <xdr:nvPicPr>
        <xdr:cNvPr id="5" name="Picture 4"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942950" y="114300"/>
          <a:ext cx="836294" cy="73075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266700</xdr:colOff>
      <xdr:row>0</xdr:row>
      <xdr:rowOff>114300</xdr:rowOff>
    </xdr:from>
    <xdr:to>
      <xdr:col>4</xdr:col>
      <xdr:colOff>941069</xdr:colOff>
      <xdr:row>2</xdr:row>
      <xdr:rowOff>8242</xdr:rowOff>
    </xdr:to>
    <xdr:pic>
      <xdr:nvPicPr>
        <xdr:cNvPr id="3" name="Picture 2"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6840581" y="114300"/>
          <a:ext cx="674369" cy="5892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57150</xdr:colOff>
      <xdr:row>1</xdr:row>
      <xdr:rowOff>114300</xdr:rowOff>
    </xdr:from>
    <xdr:to>
      <xdr:col>9</xdr:col>
      <xdr:colOff>500130</xdr:colOff>
      <xdr:row>53</xdr:row>
      <xdr:rowOff>85148</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05" t="3789" r="2279" b="662"/>
        <a:stretch/>
      </xdr:blipFill>
      <xdr:spPr>
        <a:xfrm>
          <a:off x="9981699870" y="276225"/>
          <a:ext cx="5929380" cy="839094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295275</xdr:colOff>
      <xdr:row>0</xdr:row>
      <xdr:rowOff>95250</xdr:rowOff>
    </xdr:from>
    <xdr:to>
      <xdr:col>7</xdr:col>
      <xdr:colOff>969644</xdr:colOff>
      <xdr:row>1</xdr:row>
      <xdr:rowOff>455917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916281" y="95250"/>
          <a:ext cx="674369" cy="5892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676275</xdr:colOff>
      <xdr:row>0</xdr:row>
      <xdr:rowOff>123825</xdr:rowOff>
    </xdr:from>
    <xdr:to>
      <xdr:col>9</xdr:col>
      <xdr:colOff>1350644</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1744706" y="123825"/>
          <a:ext cx="674369" cy="58926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123825</xdr:colOff>
      <xdr:row>0</xdr:row>
      <xdr:rowOff>85725</xdr:rowOff>
    </xdr:from>
    <xdr:to>
      <xdr:col>12</xdr:col>
      <xdr:colOff>485775</xdr:colOff>
      <xdr:row>30</xdr:row>
      <xdr:rowOff>28575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238125</xdr:colOff>
      <xdr:row>0</xdr:row>
      <xdr:rowOff>142875</xdr:rowOff>
    </xdr:from>
    <xdr:to>
      <xdr:col>12</xdr:col>
      <xdr:colOff>302894</xdr:colOff>
      <xdr:row>4</xdr:row>
      <xdr:rowOff>84442</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80068306" y="714375"/>
          <a:ext cx="674369" cy="58926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16</xdr:col>
      <xdr:colOff>657225</xdr:colOff>
      <xdr:row>0</xdr:row>
      <xdr:rowOff>66675</xdr:rowOff>
    </xdr:from>
    <xdr:to>
      <xdr:col>16</xdr:col>
      <xdr:colOff>1331594</xdr:colOff>
      <xdr:row>2</xdr:row>
      <xdr:rowOff>179692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7420356" y="66675"/>
          <a:ext cx="674369" cy="58926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685800</xdr:colOff>
      <xdr:row>0</xdr:row>
      <xdr:rowOff>104775</xdr:rowOff>
    </xdr:from>
    <xdr:to>
      <xdr:col>13</xdr:col>
      <xdr:colOff>1360169</xdr:colOff>
      <xdr:row>2</xdr:row>
      <xdr:rowOff>217792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20581" y="104775"/>
          <a:ext cx="674369" cy="5892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542925</xdr:colOff>
      <xdr:row>18</xdr:row>
      <xdr:rowOff>38100</xdr:rowOff>
    </xdr:to>
    <xdr:grpSp>
      <xdr:nvGrpSpPr>
        <xdr:cNvPr id="2" name="Group 1"/>
        <xdr:cNvGrpSpPr>
          <a:grpSpLocks/>
        </xdr:cNvGrpSpPr>
      </xdr:nvGrpSpPr>
      <xdr:grpSpPr bwMode="auto">
        <a:xfrm flipH="1">
          <a:off x="9985924275" y="161925"/>
          <a:ext cx="4667250" cy="2790825"/>
          <a:chOff x="0" y="17"/>
          <a:chExt cx="490" cy="293"/>
        </a:xfrm>
      </xdr:grpSpPr>
      <xdr:pic>
        <xdr:nvPicPr>
          <xdr:cNvPr id="3" name="Picture 2" descr="bor0019"/>
          <xdr:cNvPicPr>
            <a:picLocks noChangeAspect="1" noChangeArrowheads="1"/>
          </xdr:cNvPicPr>
        </xdr:nvPicPr>
        <xdr:blipFill>
          <a:blip xmlns:r="http://schemas.openxmlformats.org/officeDocument/2006/relationships" r:embed="rId1" cstate="print"/>
          <a:srcRect/>
          <a:stretch>
            <a:fillRect/>
          </a:stretch>
        </xdr:blipFill>
        <xdr:spPr bwMode="auto">
          <a:xfrm>
            <a:off x="0" y="17"/>
            <a:ext cx="490" cy="293"/>
          </a:xfrm>
          <a:prstGeom prst="rect">
            <a:avLst/>
          </a:prstGeom>
          <a:noFill/>
          <a:ln w="9525">
            <a:noFill/>
            <a:miter lim="800000"/>
            <a:headEnd/>
            <a:tailEnd/>
          </a:ln>
        </xdr:spPr>
      </xdr:pic>
      <xdr:sp macro="" textlink="">
        <xdr:nvSpPr>
          <xdr:cNvPr id="4" name="Text Box 3"/>
          <xdr:cNvSpPr txBox="1">
            <a:spLocks noChangeArrowheads="1"/>
          </xdr:cNvSpPr>
        </xdr:nvSpPr>
        <xdr:spPr bwMode="auto">
          <a:xfrm>
            <a:off x="63" y="86"/>
            <a:ext cx="363" cy="152"/>
          </a:xfrm>
          <a:prstGeom prst="rect">
            <a:avLst/>
          </a:prstGeom>
          <a:noFill/>
          <a:ln w="9525">
            <a:noFill/>
            <a:miter lim="800000"/>
            <a:headEnd/>
            <a:tailEnd/>
          </a:ln>
        </xdr:spPr>
        <xdr:txBody>
          <a:bodyPr vertOverflow="clip" wrap="square" lIns="54864" tIns="68580" rIns="54864" bIns="0" anchor="t" upright="1"/>
          <a:lstStyle/>
          <a:p>
            <a:pPr algn="ctr" rtl="0">
              <a:defRPr sz="1000"/>
            </a:pPr>
            <a:r>
              <a:rPr lang="ar-QA" sz="3200" b="1" i="0" strike="noStrike">
                <a:solidFill>
                  <a:srgbClr val="0000FF"/>
                </a:solidFill>
                <a:latin typeface="Sakkal Majalla" panose="02000000000000000000" pitchFamily="2" charset="-78"/>
                <a:cs typeface="Sakkal Majalla" panose="02000000000000000000" pitchFamily="2" charset="-78"/>
              </a:rPr>
              <a:t>البـــاب الأول : الـــزواج</a:t>
            </a:r>
          </a:p>
          <a:p>
            <a:pPr algn="ctr" rtl="0">
              <a:defRPr sz="1000"/>
            </a:pPr>
            <a:r>
              <a:rPr lang="en-US" sz="2000" b="1" i="0" strike="noStrike">
                <a:solidFill>
                  <a:srgbClr val="0000FF"/>
                </a:solidFill>
                <a:latin typeface="Arial" panose="020B0604020202020204" pitchFamily="34" charset="0"/>
                <a:cs typeface="Arial" panose="020B0604020202020204" pitchFamily="34" charset="0"/>
              </a:rPr>
              <a:t>FIRST SECTION: MARRIAGES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13</xdr:col>
      <xdr:colOff>1057275</xdr:colOff>
      <xdr:row>0</xdr:row>
      <xdr:rowOff>114300</xdr:rowOff>
    </xdr:from>
    <xdr:to>
      <xdr:col>13</xdr:col>
      <xdr:colOff>1731644</xdr:colOff>
      <xdr:row>2</xdr:row>
      <xdr:rowOff>227317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01531" y="114300"/>
          <a:ext cx="674369" cy="58926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13</xdr:col>
      <xdr:colOff>1028700</xdr:colOff>
      <xdr:row>0</xdr:row>
      <xdr:rowOff>123825</xdr:rowOff>
    </xdr:from>
    <xdr:to>
      <xdr:col>13</xdr:col>
      <xdr:colOff>1703069</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30106" y="123825"/>
          <a:ext cx="674369" cy="58926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13</xdr:col>
      <xdr:colOff>1019175</xdr:colOff>
      <xdr:row>0</xdr:row>
      <xdr:rowOff>95250</xdr:rowOff>
    </xdr:from>
    <xdr:to>
      <xdr:col>13</xdr:col>
      <xdr:colOff>1693544</xdr:colOff>
      <xdr:row>2</xdr:row>
      <xdr:rowOff>208267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39631" y="95250"/>
          <a:ext cx="674369" cy="58926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1038225</xdr:colOff>
      <xdr:row>0</xdr:row>
      <xdr:rowOff>104775</xdr:rowOff>
    </xdr:from>
    <xdr:to>
      <xdr:col>7</xdr:col>
      <xdr:colOff>1712594</xdr:colOff>
      <xdr:row>2</xdr:row>
      <xdr:rowOff>217792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878181" y="104775"/>
          <a:ext cx="674369" cy="58926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1019175</xdr:colOff>
      <xdr:row>0</xdr:row>
      <xdr:rowOff>133350</xdr:rowOff>
    </xdr:from>
    <xdr:to>
      <xdr:col>7</xdr:col>
      <xdr:colOff>1693544</xdr:colOff>
      <xdr:row>3</xdr:row>
      <xdr:rowOff>17767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897231" y="133350"/>
          <a:ext cx="674369" cy="58926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971550</xdr:colOff>
      <xdr:row>0</xdr:row>
      <xdr:rowOff>114300</xdr:rowOff>
    </xdr:from>
    <xdr:to>
      <xdr:col>7</xdr:col>
      <xdr:colOff>1645919</xdr:colOff>
      <xdr:row>2</xdr:row>
      <xdr:rowOff>227317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944856" y="114300"/>
          <a:ext cx="674369" cy="58926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1019175</xdr:colOff>
      <xdr:row>0</xdr:row>
      <xdr:rowOff>95250</xdr:rowOff>
    </xdr:from>
    <xdr:to>
      <xdr:col>7</xdr:col>
      <xdr:colOff>1693544</xdr:colOff>
      <xdr:row>2</xdr:row>
      <xdr:rowOff>208267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897231" y="95250"/>
          <a:ext cx="674369" cy="58926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1028700</xdr:colOff>
      <xdr:row>0</xdr:row>
      <xdr:rowOff>95250</xdr:rowOff>
    </xdr:from>
    <xdr:to>
      <xdr:col>7</xdr:col>
      <xdr:colOff>1703069</xdr:colOff>
      <xdr:row>2</xdr:row>
      <xdr:rowOff>208267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887706" y="95250"/>
          <a:ext cx="674369" cy="58926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971550</xdr:colOff>
      <xdr:row>0</xdr:row>
      <xdr:rowOff>152400</xdr:rowOff>
    </xdr:from>
    <xdr:to>
      <xdr:col>7</xdr:col>
      <xdr:colOff>1645919</xdr:colOff>
      <xdr:row>3</xdr:row>
      <xdr:rowOff>36817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944856" y="152400"/>
          <a:ext cx="674369" cy="58926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1019175</xdr:colOff>
      <xdr:row>0</xdr:row>
      <xdr:rowOff>95250</xdr:rowOff>
    </xdr:from>
    <xdr:to>
      <xdr:col>6</xdr:col>
      <xdr:colOff>1693544</xdr:colOff>
      <xdr:row>2</xdr:row>
      <xdr:rowOff>208267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3506831" y="95250"/>
          <a:ext cx="674369" cy="5892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133351</xdr:colOff>
      <xdr:row>0</xdr:row>
      <xdr:rowOff>112916</xdr:rowOff>
    </xdr:from>
    <xdr:to>
      <xdr:col>13</xdr:col>
      <xdr:colOff>807720</xdr:colOff>
      <xdr:row>3</xdr:row>
      <xdr:rowOff>6858</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77730" y="112916"/>
          <a:ext cx="674369" cy="58926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1019175</xdr:colOff>
      <xdr:row>0</xdr:row>
      <xdr:rowOff>123825</xdr:rowOff>
    </xdr:from>
    <xdr:to>
      <xdr:col>6</xdr:col>
      <xdr:colOff>1693544</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3506831" y="123825"/>
          <a:ext cx="674369" cy="58926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1019175</xdr:colOff>
      <xdr:row>0</xdr:row>
      <xdr:rowOff>133350</xdr:rowOff>
    </xdr:from>
    <xdr:to>
      <xdr:col>6</xdr:col>
      <xdr:colOff>1693544</xdr:colOff>
      <xdr:row>3</xdr:row>
      <xdr:rowOff>17767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3506831" y="133350"/>
          <a:ext cx="674369" cy="58926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xdr:col>
      <xdr:colOff>990600</xdr:colOff>
      <xdr:row>0</xdr:row>
      <xdr:rowOff>76200</xdr:rowOff>
    </xdr:from>
    <xdr:to>
      <xdr:col>5</xdr:col>
      <xdr:colOff>1664969</xdr:colOff>
      <xdr:row>2</xdr:row>
      <xdr:rowOff>189217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4106906" y="76200"/>
          <a:ext cx="674369" cy="58926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5</xdr:col>
      <xdr:colOff>971550</xdr:colOff>
      <xdr:row>0</xdr:row>
      <xdr:rowOff>95250</xdr:rowOff>
    </xdr:from>
    <xdr:to>
      <xdr:col>5</xdr:col>
      <xdr:colOff>1645919</xdr:colOff>
      <xdr:row>2</xdr:row>
      <xdr:rowOff>208267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4125956" y="95250"/>
          <a:ext cx="674369" cy="58926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xdr:col>
      <xdr:colOff>971550</xdr:colOff>
      <xdr:row>0</xdr:row>
      <xdr:rowOff>85725</xdr:rowOff>
    </xdr:from>
    <xdr:to>
      <xdr:col>5</xdr:col>
      <xdr:colOff>1645919</xdr:colOff>
      <xdr:row>2</xdr:row>
      <xdr:rowOff>198742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4125956" y="85725"/>
          <a:ext cx="674369" cy="58926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11</xdr:col>
      <xdr:colOff>495300</xdr:colOff>
      <xdr:row>0</xdr:row>
      <xdr:rowOff>104775</xdr:rowOff>
    </xdr:from>
    <xdr:to>
      <xdr:col>11</xdr:col>
      <xdr:colOff>1169669</xdr:colOff>
      <xdr:row>2</xdr:row>
      <xdr:rowOff>160642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0496931" y="104775"/>
          <a:ext cx="674369" cy="58926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11</xdr:col>
      <xdr:colOff>523875</xdr:colOff>
      <xdr:row>0</xdr:row>
      <xdr:rowOff>104775</xdr:rowOff>
    </xdr:from>
    <xdr:to>
      <xdr:col>11</xdr:col>
      <xdr:colOff>1198244</xdr:colOff>
      <xdr:row>2</xdr:row>
      <xdr:rowOff>160642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0468356" y="104775"/>
          <a:ext cx="674369" cy="58926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11</xdr:col>
      <xdr:colOff>523875</xdr:colOff>
      <xdr:row>0</xdr:row>
      <xdr:rowOff>104775</xdr:rowOff>
    </xdr:from>
    <xdr:to>
      <xdr:col>11</xdr:col>
      <xdr:colOff>1198244</xdr:colOff>
      <xdr:row>2</xdr:row>
      <xdr:rowOff>160642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0468356" y="104775"/>
          <a:ext cx="674369" cy="58926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19050</xdr:colOff>
      <xdr:row>0</xdr:row>
      <xdr:rowOff>123825</xdr:rowOff>
    </xdr:from>
    <xdr:to>
      <xdr:col>12</xdr:col>
      <xdr:colOff>571500</xdr:colOff>
      <xdr:row>31</xdr:row>
      <xdr:rowOff>152400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381000</xdr:colOff>
      <xdr:row>0</xdr:row>
      <xdr:rowOff>133350</xdr:rowOff>
    </xdr:from>
    <xdr:to>
      <xdr:col>12</xdr:col>
      <xdr:colOff>445769</xdr:colOff>
      <xdr:row>4</xdr:row>
      <xdr:rowOff>74917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925431" y="133350"/>
          <a:ext cx="674369" cy="58926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14</xdr:col>
      <xdr:colOff>1232647</xdr:colOff>
      <xdr:row>0</xdr:row>
      <xdr:rowOff>100853</xdr:rowOff>
    </xdr:from>
    <xdr:to>
      <xdr:col>14</xdr:col>
      <xdr:colOff>1907016</xdr:colOff>
      <xdr:row>3</xdr:row>
      <xdr:rowOff>62591</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05280808" y="100853"/>
          <a:ext cx="674369" cy="5892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1</xdr:row>
      <xdr:rowOff>133350</xdr:rowOff>
    </xdr:from>
    <xdr:to>
      <xdr:col>12</xdr:col>
      <xdr:colOff>561975</xdr:colOff>
      <xdr:row>35</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390525</xdr:colOff>
      <xdr:row>0</xdr:row>
      <xdr:rowOff>161925</xdr:rowOff>
    </xdr:from>
    <xdr:to>
      <xdr:col>12</xdr:col>
      <xdr:colOff>455294</xdr:colOff>
      <xdr:row>1</xdr:row>
      <xdr:rowOff>265417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915906" y="161925"/>
          <a:ext cx="674369" cy="58926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14</xdr:col>
      <xdr:colOff>1210235</xdr:colOff>
      <xdr:row>0</xdr:row>
      <xdr:rowOff>134470</xdr:rowOff>
    </xdr:from>
    <xdr:to>
      <xdr:col>14</xdr:col>
      <xdr:colOff>1884604</xdr:colOff>
      <xdr:row>3</xdr:row>
      <xdr:rowOff>96208</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05303220" y="134470"/>
          <a:ext cx="674369" cy="58926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14</xdr:col>
      <xdr:colOff>1210236</xdr:colOff>
      <xdr:row>0</xdr:row>
      <xdr:rowOff>112059</xdr:rowOff>
    </xdr:from>
    <xdr:to>
      <xdr:col>14</xdr:col>
      <xdr:colOff>1884605</xdr:colOff>
      <xdr:row>3</xdr:row>
      <xdr:rowOff>73797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05303219" y="112059"/>
          <a:ext cx="674369" cy="58926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12</xdr:col>
      <xdr:colOff>400050</xdr:colOff>
      <xdr:row>0</xdr:row>
      <xdr:rowOff>133350</xdr:rowOff>
    </xdr:from>
    <xdr:to>
      <xdr:col>13</xdr:col>
      <xdr:colOff>464819</xdr:colOff>
      <xdr:row>2</xdr:row>
      <xdr:rowOff>93967</xdr:rowOff>
    </xdr:to>
    <xdr:pic>
      <xdr:nvPicPr>
        <xdr:cNvPr id="3" name="Picture 2"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96781" y="133350"/>
          <a:ext cx="674369" cy="589267"/>
        </a:xfrm>
        <a:prstGeom prst="rect">
          <a:avLst/>
        </a:prstGeom>
      </xdr:spPr>
    </xdr:pic>
    <xdr:clientData/>
  </xdr:twoCellAnchor>
  <xdr:twoCellAnchor>
    <xdr:from>
      <xdr:col>0</xdr:col>
      <xdr:colOff>123825</xdr:colOff>
      <xdr:row>3</xdr:row>
      <xdr:rowOff>95250</xdr:rowOff>
    </xdr:from>
    <xdr:to>
      <xdr:col>13</xdr:col>
      <xdr:colOff>485775</xdr:colOff>
      <xdr:row>34</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13</xdr:col>
      <xdr:colOff>542925</xdr:colOff>
      <xdr:row>0</xdr:row>
      <xdr:rowOff>85725</xdr:rowOff>
    </xdr:from>
    <xdr:to>
      <xdr:col>13</xdr:col>
      <xdr:colOff>1217294</xdr:colOff>
      <xdr:row>1</xdr:row>
      <xdr:rowOff>398767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96781" y="85725"/>
          <a:ext cx="674369" cy="5892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13</xdr:col>
      <xdr:colOff>571500</xdr:colOff>
      <xdr:row>0</xdr:row>
      <xdr:rowOff>114300</xdr:rowOff>
    </xdr:from>
    <xdr:to>
      <xdr:col>13</xdr:col>
      <xdr:colOff>1245869</xdr:colOff>
      <xdr:row>2</xdr:row>
      <xdr:rowOff>17767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68206" y="114300"/>
          <a:ext cx="674369" cy="5892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13</xdr:col>
      <xdr:colOff>590550</xdr:colOff>
      <xdr:row>0</xdr:row>
      <xdr:rowOff>57150</xdr:rowOff>
    </xdr:from>
    <xdr:to>
      <xdr:col>13</xdr:col>
      <xdr:colOff>1264919</xdr:colOff>
      <xdr:row>1</xdr:row>
      <xdr:rowOff>370192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49156" y="57150"/>
          <a:ext cx="674369" cy="58926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13</xdr:col>
      <xdr:colOff>866775</xdr:colOff>
      <xdr:row>0</xdr:row>
      <xdr:rowOff>123825</xdr:rowOff>
    </xdr:from>
    <xdr:to>
      <xdr:col>13</xdr:col>
      <xdr:colOff>1541144</xdr:colOff>
      <xdr:row>2</xdr:row>
      <xdr:rowOff>179692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868281" y="123825"/>
          <a:ext cx="674369" cy="58926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13</xdr:col>
      <xdr:colOff>885825</xdr:colOff>
      <xdr:row>0</xdr:row>
      <xdr:rowOff>66675</xdr:rowOff>
    </xdr:from>
    <xdr:to>
      <xdr:col>13</xdr:col>
      <xdr:colOff>1560194</xdr:colOff>
      <xdr:row>2</xdr:row>
      <xdr:rowOff>122542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849231" y="66675"/>
          <a:ext cx="674369" cy="58926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114300</xdr:colOff>
      <xdr:row>1</xdr:row>
      <xdr:rowOff>57149</xdr:rowOff>
    </xdr:from>
    <xdr:to>
      <xdr:col>12</xdr:col>
      <xdr:colOff>466725</xdr:colOff>
      <xdr:row>31</xdr:row>
      <xdr:rowOff>66674</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361950</xdr:colOff>
      <xdr:row>1</xdr:row>
      <xdr:rowOff>9525</xdr:rowOff>
    </xdr:from>
    <xdr:to>
      <xdr:col>12</xdr:col>
      <xdr:colOff>426719</xdr:colOff>
      <xdr:row>4</xdr:row>
      <xdr:rowOff>113017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944481" y="171450"/>
          <a:ext cx="674369" cy="58926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542925</xdr:colOff>
      <xdr:row>18</xdr:row>
      <xdr:rowOff>38100</xdr:rowOff>
    </xdr:to>
    <xdr:grpSp>
      <xdr:nvGrpSpPr>
        <xdr:cNvPr id="2" name="Group 4"/>
        <xdr:cNvGrpSpPr>
          <a:grpSpLocks/>
        </xdr:cNvGrpSpPr>
      </xdr:nvGrpSpPr>
      <xdr:grpSpPr bwMode="auto">
        <a:xfrm flipH="1">
          <a:off x="9985924275" y="161925"/>
          <a:ext cx="4667250" cy="2790825"/>
          <a:chOff x="0" y="17"/>
          <a:chExt cx="490" cy="293"/>
        </a:xfrm>
      </xdr:grpSpPr>
      <xdr:pic>
        <xdr:nvPicPr>
          <xdr:cNvPr id="3" name="Picture 2" descr="bor0019"/>
          <xdr:cNvPicPr>
            <a:picLocks noChangeAspect="1" noChangeArrowheads="1"/>
          </xdr:cNvPicPr>
        </xdr:nvPicPr>
        <xdr:blipFill>
          <a:blip xmlns:r="http://schemas.openxmlformats.org/officeDocument/2006/relationships" r:embed="rId1" cstate="print"/>
          <a:srcRect/>
          <a:stretch>
            <a:fillRect/>
          </a:stretch>
        </xdr:blipFill>
        <xdr:spPr bwMode="auto">
          <a:xfrm>
            <a:off x="0" y="17"/>
            <a:ext cx="490" cy="293"/>
          </a:xfrm>
          <a:prstGeom prst="rect">
            <a:avLst/>
          </a:prstGeom>
          <a:noFill/>
          <a:ln w="9525">
            <a:noFill/>
            <a:miter lim="800000"/>
            <a:headEnd/>
            <a:tailEnd/>
          </a:ln>
        </xdr:spPr>
      </xdr:pic>
      <xdr:sp macro="" textlink="">
        <xdr:nvSpPr>
          <xdr:cNvPr id="4" name="Text Box 3"/>
          <xdr:cNvSpPr txBox="1">
            <a:spLocks noChangeArrowheads="1"/>
          </xdr:cNvSpPr>
        </xdr:nvSpPr>
        <xdr:spPr bwMode="auto">
          <a:xfrm>
            <a:off x="63" y="86"/>
            <a:ext cx="363" cy="152"/>
          </a:xfrm>
          <a:prstGeom prst="rect">
            <a:avLst/>
          </a:prstGeom>
          <a:noFill/>
          <a:ln w="9525">
            <a:noFill/>
            <a:miter lim="800000"/>
            <a:headEnd/>
            <a:tailEnd/>
          </a:ln>
        </xdr:spPr>
        <xdr:txBody>
          <a:bodyPr vertOverflow="clip" wrap="square" lIns="54864" tIns="68580" rIns="54864" bIns="0" anchor="t" upright="1"/>
          <a:lstStyle/>
          <a:p>
            <a:pPr algn="ctr" rtl="0">
              <a:defRPr sz="1000"/>
            </a:pPr>
            <a:r>
              <a:rPr lang="ar-QA" sz="3200" b="1" i="0" strike="noStrike">
                <a:solidFill>
                  <a:srgbClr val="0000FF"/>
                </a:solidFill>
                <a:latin typeface="Sakkal Majalla" panose="02000000000000000000" pitchFamily="2" charset="-78"/>
                <a:cs typeface="Sakkal Majalla" panose="02000000000000000000" pitchFamily="2" charset="-78"/>
              </a:rPr>
              <a:t>البـــاب الثـــاني : الطـــــــلاق</a:t>
            </a:r>
          </a:p>
          <a:p>
            <a:pPr algn="ctr" rtl="0">
              <a:defRPr sz="1000"/>
            </a:pPr>
            <a:r>
              <a:rPr lang="en-US" sz="2000" b="0" i="0" strike="noStrike">
                <a:solidFill>
                  <a:srgbClr val="0000FF"/>
                </a:solidFill>
                <a:latin typeface="Arial Black"/>
              </a:rPr>
              <a:t>SECOND SECTION: DIVORCES</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123825</xdr:colOff>
      <xdr:row>0</xdr:row>
      <xdr:rowOff>133350</xdr:rowOff>
    </xdr:from>
    <xdr:to>
      <xdr:col>13</xdr:col>
      <xdr:colOff>798194</xdr:colOff>
      <xdr:row>1</xdr:row>
      <xdr:rowOff>427342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49156" y="133350"/>
          <a:ext cx="674369" cy="58926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13</xdr:col>
      <xdr:colOff>190500</xdr:colOff>
      <xdr:row>0</xdr:row>
      <xdr:rowOff>123825</xdr:rowOff>
    </xdr:from>
    <xdr:to>
      <xdr:col>13</xdr:col>
      <xdr:colOff>864869</xdr:colOff>
      <xdr:row>2</xdr:row>
      <xdr:rowOff>65392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11056" y="123825"/>
          <a:ext cx="674369" cy="58926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19050</xdr:colOff>
      <xdr:row>1</xdr:row>
      <xdr:rowOff>123825</xdr:rowOff>
    </xdr:from>
    <xdr:to>
      <xdr:col>12</xdr:col>
      <xdr:colOff>571500</xdr:colOff>
      <xdr:row>32</xdr:row>
      <xdr:rowOff>152400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314325</xdr:colOff>
      <xdr:row>0</xdr:row>
      <xdr:rowOff>85725</xdr:rowOff>
    </xdr:from>
    <xdr:to>
      <xdr:col>12</xdr:col>
      <xdr:colOff>379094</xdr:colOff>
      <xdr:row>2</xdr:row>
      <xdr:rowOff>36817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992106" y="85725"/>
          <a:ext cx="674369" cy="589267"/>
        </a:xfrm>
        <a:prstGeom prst="rect">
          <a:avLst/>
        </a:prstGeom>
      </xdr:spPr>
    </xdr:pic>
    <xdr:clientData/>
  </xdr:twoCellAnchor>
</xdr:wsDr>
</file>

<file path=xl/drawings/drawing52.xml><?xml version="1.0" encoding="utf-8"?>
<c:userShapes xmlns:c="http://schemas.openxmlformats.org/drawingml/2006/chart">
  <cdr:relSizeAnchor xmlns:cdr="http://schemas.openxmlformats.org/drawingml/2006/chartDrawing">
    <cdr:from>
      <cdr:x>0.22155</cdr:x>
      <cdr:y>0.24528</cdr:y>
    </cdr:from>
    <cdr:to>
      <cdr:x>0.35836</cdr:x>
      <cdr:y>0.3415</cdr:y>
    </cdr:to>
    <cdr:sp macro="" textlink="">
      <cdr:nvSpPr>
        <cdr:cNvPr id="2" name="TextBox 1"/>
        <cdr:cNvSpPr txBox="1"/>
      </cdr:nvSpPr>
      <cdr:spPr>
        <a:xfrm xmlns:a="http://schemas.openxmlformats.org/drawingml/2006/main">
          <a:off x="1743090" y="1238254"/>
          <a:ext cx="1076373" cy="4857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ar-QA" sz="1100" b="1">
              <a:cs typeface="+mn-cs"/>
            </a:rPr>
            <a:t>الإناث</a:t>
          </a:r>
          <a:r>
            <a:rPr lang="ar-QA" sz="1100">
              <a:cs typeface="+mn-cs"/>
            </a:rPr>
            <a:t> </a:t>
          </a:r>
          <a:endParaRPr lang="en-US" sz="1100">
            <a:cs typeface="+mn-cs"/>
          </a:endParaRPr>
        </a:p>
        <a:p xmlns:a="http://schemas.openxmlformats.org/drawingml/2006/main">
          <a:pPr algn="ctr"/>
          <a:r>
            <a:rPr lang="en-US" sz="1100" b="1">
              <a:latin typeface="Arial" pitchFamily="34" charset="0"/>
              <a:cs typeface="Arial" pitchFamily="34" charset="0"/>
            </a:rPr>
            <a:t>Females</a:t>
          </a:r>
        </a:p>
      </cdr:txBody>
    </cdr:sp>
  </cdr:relSizeAnchor>
  <cdr:relSizeAnchor xmlns:cdr="http://schemas.openxmlformats.org/drawingml/2006/chartDrawing">
    <cdr:from>
      <cdr:x>0.21913</cdr:x>
      <cdr:y>0.60001</cdr:y>
    </cdr:from>
    <cdr:to>
      <cdr:x>0.35594</cdr:x>
      <cdr:y>0.69623</cdr:y>
    </cdr:to>
    <cdr:sp macro="" textlink="">
      <cdr:nvSpPr>
        <cdr:cNvPr id="3" name="TextBox 2"/>
        <cdr:cNvSpPr txBox="1"/>
      </cdr:nvSpPr>
      <cdr:spPr>
        <a:xfrm xmlns:a="http://schemas.openxmlformats.org/drawingml/2006/main">
          <a:off x="1724007" y="3028991"/>
          <a:ext cx="1076373" cy="4857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ar-QA" sz="1100" b="1">
              <a:cs typeface="+mn-cs"/>
            </a:rPr>
            <a:t>الذكور</a:t>
          </a:r>
          <a:endParaRPr lang="en-US" sz="1100" b="1">
            <a:cs typeface="+mn-cs"/>
          </a:endParaRPr>
        </a:p>
        <a:p xmlns:a="http://schemas.openxmlformats.org/drawingml/2006/main">
          <a:pPr algn="ctr"/>
          <a:r>
            <a:rPr lang="en-US" sz="1100" b="1">
              <a:latin typeface="Arial" pitchFamily="34" charset="0"/>
              <a:cs typeface="Arial" pitchFamily="34" charset="0"/>
            </a:rPr>
            <a:t>Males</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4</xdr:col>
      <xdr:colOff>276225</xdr:colOff>
      <xdr:row>0</xdr:row>
      <xdr:rowOff>133350</xdr:rowOff>
    </xdr:from>
    <xdr:to>
      <xdr:col>4</xdr:col>
      <xdr:colOff>950594</xdr:colOff>
      <xdr:row>2</xdr:row>
      <xdr:rowOff>27292</xdr:rowOff>
    </xdr:to>
    <xdr:pic>
      <xdr:nvPicPr>
        <xdr:cNvPr id="3" name="Picture 2"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6831056" y="133350"/>
          <a:ext cx="674369" cy="58926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4</xdr:col>
      <xdr:colOff>533400</xdr:colOff>
      <xdr:row>0</xdr:row>
      <xdr:rowOff>95250</xdr:rowOff>
    </xdr:from>
    <xdr:to>
      <xdr:col>4</xdr:col>
      <xdr:colOff>1207769</xdr:colOff>
      <xdr:row>1</xdr:row>
      <xdr:rowOff>455917</xdr:rowOff>
    </xdr:to>
    <xdr:pic>
      <xdr:nvPicPr>
        <xdr:cNvPr id="3" name="Picture 2"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6821531" y="95250"/>
          <a:ext cx="674369" cy="58926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104775</xdr:colOff>
      <xdr:row>0</xdr:row>
      <xdr:rowOff>133350</xdr:rowOff>
    </xdr:from>
    <xdr:to>
      <xdr:col>10</xdr:col>
      <xdr:colOff>504825</xdr:colOff>
      <xdr:row>57</xdr:row>
      <xdr:rowOff>27087</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3" t="3789" r="2145" b="852"/>
        <a:stretch/>
      </xdr:blipFill>
      <xdr:spPr>
        <a:xfrm>
          <a:off x="9981180825" y="133350"/>
          <a:ext cx="6496050" cy="9123462"/>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7</xdr:col>
      <xdr:colOff>619125</xdr:colOff>
      <xdr:row>0</xdr:row>
      <xdr:rowOff>104775</xdr:rowOff>
    </xdr:from>
    <xdr:to>
      <xdr:col>7</xdr:col>
      <xdr:colOff>1293494</xdr:colOff>
      <xdr:row>2</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897231" y="104775"/>
          <a:ext cx="674369" cy="58926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1</xdr:row>
      <xdr:rowOff>66675</xdr:rowOff>
    </xdr:from>
    <xdr:to>
      <xdr:col>13</xdr:col>
      <xdr:colOff>523875</xdr:colOff>
      <xdr:row>35</xdr:row>
      <xdr:rowOff>95250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352425</xdr:colOff>
      <xdr:row>0</xdr:row>
      <xdr:rowOff>85725</xdr:rowOff>
    </xdr:from>
    <xdr:to>
      <xdr:col>13</xdr:col>
      <xdr:colOff>417194</xdr:colOff>
      <xdr:row>1</xdr:row>
      <xdr:rowOff>8242</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344406" y="85725"/>
          <a:ext cx="674369" cy="58926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8</xdr:col>
      <xdr:colOff>981075</xdr:colOff>
      <xdr:row>0</xdr:row>
      <xdr:rowOff>104775</xdr:rowOff>
    </xdr:from>
    <xdr:to>
      <xdr:col>8</xdr:col>
      <xdr:colOff>1655444</xdr:colOff>
      <xdr:row>2</xdr:row>
      <xdr:rowOff>189217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373356" y="104775"/>
          <a:ext cx="674369" cy="58926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180975</xdr:colOff>
      <xdr:row>0</xdr:row>
      <xdr:rowOff>47625</xdr:rowOff>
    </xdr:from>
    <xdr:to>
      <xdr:col>12</xdr:col>
      <xdr:colOff>495300</xdr:colOff>
      <xdr:row>32</xdr:row>
      <xdr:rowOff>47625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285750</xdr:colOff>
      <xdr:row>1</xdr:row>
      <xdr:rowOff>28575</xdr:rowOff>
    </xdr:from>
    <xdr:to>
      <xdr:col>12</xdr:col>
      <xdr:colOff>350519</xdr:colOff>
      <xdr:row>4</xdr:row>
      <xdr:rowOff>132067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80020681" y="190500"/>
          <a:ext cx="674369" cy="5892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723900</xdr:colOff>
      <xdr:row>0</xdr:row>
      <xdr:rowOff>161925</xdr:rowOff>
    </xdr:from>
    <xdr:to>
      <xdr:col>5</xdr:col>
      <xdr:colOff>1398269</xdr:colOff>
      <xdr:row>3</xdr:row>
      <xdr:rowOff>122542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4173581" y="161925"/>
          <a:ext cx="674369" cy="58926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381000</xdr:colOff>
      <xdr:row>0</xdr:row>
      <xdr:rowOff>28576</xdr:rowOff>
    </xdr:from>
    <xdr:to>
      <xdr:col>12</xdr:col>
      <xdr:colOff>561975</xdr:colOff>
      <xdr:row>30</xdr:row>
      <xdr:rowOff>85726</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438150</xdr:colOff>
      <xdr:row>0</xdr:row>
      <xdr:rowOff>123825</xdr:rowOff>
    </xdr:from>
    <xdr:to>
      <xdr:col>12</xdr:col>
      <xdr:colOff>502919</xdr:colOff>
      <xdr:row>4</xdr:row>
      <xdr:rowOff>65392</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868281" y="123825"/>
          <a:ext cx="674369" cy="589267"/>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8</xdr:col>
      <xdr:colOff>1066800</xdr:colOff>
      <xdr:row>0</xdr:row>
      <xdr:rowOff>123825</xdr:rowOff>
    </xdr:from>
    <xdr:to>
      <xdr:col>8</xdr:col>
      <xdr:colOff>1741169</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878181" y="123825"/>
          <a:ext cx="674369" cy="589267"/>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8</xdr:col>
      <xdr:colOff>1028700</xdr:colOff>
      <xdr:row>0</xdr:row>
      <xdr:rowOff>123825</xdr:rowOff>
    </xdr:from>
    <xdr:to>
      <xdr:col>8</xdr:col>
      <xdr:colOff>1703069</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916281" y="123825"/>
          <a:ext cx="674369" cy="589267"/>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8</xdr:col>
      <xdr:colOff>990600</xdr:colOff>
      <xdr:row>0</xdr:row>
      <xdr:rowOff>76200</xdr:rowOff>
    </xdr:from>
    <xdr:to>
      <xdr:col>8</xdr:col>
      <xdr:colOff>1664969</xdr:colOff>
      <xdr:row>2</xdr:row>
      <xdr:rowOff>160642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954381" y="76200"/>
          <a:ext cx="674369" cy="589267"/>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8</xdr:col>
      <xdr:colOff>514350</xdr:colOff>
      <xdr:row>0</xdr:row>
      <xdr:rowOff>123825</xdr:rowOff>
    </xdr:from>
    <xdr:to>
      <xdr:col>8</xdr:col>
      <xdr:colOff>1188719</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325731" y="123825"/>
          <a:ext cx="674369" cy="589267"/>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8</xdr:col>
      <xdr:colOff>523875</xdr:colOff>
      <xdr:row>0</xdr:row>
      <xdr:rowOff>95250</xdr:rowOff>
    </xdr:from>
    <xdr:to>
      <xdr:col>8</xdr:col>
      <xdr:colOff>1198244</xdr:colOff>
      <xdr:row>2</xdr:row>
      <xdr:rowOff>179692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316206" y="95250"/>
          <a:ext cx="674369" cy="589267"/>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8</xdr:col>
      <xdr:colOff>523875</xdr:colOff>
      <xdr:row>0</xdr:row>
      <xdr:rowOff>114300</xdr:rowOff>
    </xdr:from>
    <xdr:to>
      <xdr:col>8</xdr:col>
      <xdr:colOff>1198244</xdr:colOff>
      <xdr:row>2</xdr:row>
      <xdr:rowOff>198742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316206" y="114300"/>
          <a:ext cx="674369" cy="589267"/>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10</xdr:col>
      <xdr:colOff>904875</xdr:colOff>
      <xdr:row>0</xdr:row>
      <xdr:rowOff>85725</xdr:rowOff>
    </xdr:from>
    <xdr:to>
      <xdr:col>10</xdr:col>
      <xdr:colOff>1579244</xdr:colOff>
      <xdr:row>2</xdr:row>
      <xdr:rowOff>141592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1658981" y="85725"/>
          <a:ext cx="674369" cy="589267"/>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8</xdr:col>
      <xdr:colOff>742950</xdr:colOff>
      <xdr:row>0</xdr:row>
      <xdr:rowOff>123825</xdr:rowOff>
    </xdr:from>
    <xdr:to>
      <xdr:col>8</xdr:col>
      <xdr:colOff>1417319</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354306" y="123825"/>
          <a:ext cx="674369" cy="589267"/>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8</xdr:col>
      <xdr:colOff>752475</xdr:colOff>
      <xdr:row>0</xdr:row>
      <xdr:rowOff>142875</xdr:rowOff>
    </xdr:from>
    <xdr:to>
      <xdr:col>8</xdr:col>
      <xdr:colOff>1426844</xdr:colOff>
      <xdr:row>3</xdr:row>
      <xdr:rowOff>27292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344781" y="142875"/>
          <a:ext cx="674369" cy="5892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xdr:row>
      <xdr:rowOff>133350</xdr:rowOff>
    </xdr:from>
    <xdr:to>
      <xdr:col>12</xdr:col>
      <xdr:colOff>523875</xdr:colOff>
      <xdr:row>34</xdr:row>
      <xdr:rowOff>19050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400050</xdr:colOff>
      <xdr:row>0</xdr:row>
      <xdr:rowOff>123825</xdr:rowOff>
    </xdr:from>
    <xdr:to>
      <xdr:col>12</xdr:col>
      <xdr:colOff>464819</xdr:colOff>
      <xdr:row>2</xdr:row>
      <xdr:rowOff>93967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906381" y="123825"/>
          <a:ext cx="674369" cy="589267"/>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8</xdr:col>
      <xdr:colOff>714375</xdr:colOff>
      <xdr:row>0</xdr:row>
      <xdr:rowOff>95250</xdr:rowOff>
    </xdr:from>
    <xdr:to>
      <xdr:col>8</xdr:col>
      <xdr:colOff>1388744</xdr:colOff>
      <xdr:row>2</xdr:row>
      <xdr:rowOff>179692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382881" y="95250"/>
          <a:ext cx="674369" cy="589267"/>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13</xdr:col>
      <xdr:colOff>457200</xdr:colOff>
      <xdr:row>0</xdr:row>
      <xdr:rowOff>114300</xdr:rowOff>
    </xdr:from>
    <xdr:to>
      <xdr:col>13</xdr:col>
      <xdr:colOff>1131569</xdr:colOff>
      <xdr:row>1</xdr:row>
      <xdr:rowOff>474967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30106" y="114300"/>
          <a:ext cx="674369" cy="589267"/>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8</xdr:col>
      <xdr:colOff>552450</xdr:colOff>
      <xdr:row>0</xdr:row>
      <xdr:rowOff>161925</xdr:rowOff>
    </xdr:from>
    <xdr:to>
      <xdr:col>8</xdr:col>
      <xdr:colOff>1226819</xdr:colOff>
      <xdr:row>3</xdr:row>
      <xdr:rowOff>46342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325731" y="161925"/>
          <a:ext cx="674369" cy="589267"/>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8</xdr:col>
      <xdr:colOff>619125</xdr:colOff>
      <xdr:row>0</xdr:row>
      <xdr:rowOff>114300</xdr:rowOff>
    </xdr:from>
    <xdr:to>
      <xdr:col>8</xdr:col>
      <xdr:colOff>1293494</xdr:colOff>
      <xdr:row>2</xdr:row>
      <xdr:rowOff>198742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259056" y="114300"/>
          <a:ext cx="674369" cy="589267"/>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8</xdr:col>
      <xdr:colOff>619125</xdr:colOff>
      <xdr:row>0</xdr:row>
      <xdr:rowOff>85725</xdr:rowOff>
    </xdr:from>
    <xdr:to>
      <xdr:col>8</xdr:col>
      <xdr:colOff>1293494</xdr:colOff>
      <xdr:row>2</xdr:row>
      <xdr:rowOff>170167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259056" y="85725"/>
          <a:ext cx="674369" cy="589267"/>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14</xdr:col>
      <xdr:colOff>485775</xdr:colOff>
      <xdr:row>0</xdr:row>
      <xdr:rowOff>123825</xdr:rowOff>
    </xdr:from>
    <xdr:to>
      <xdr:col>14</xdr:col>
      <xdr:colOff>1160144</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8639556" y="123825"/>
          <a:ext cx="674369" cy="589267"/>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14</xdr:col>
      <xdr:colOff>504825</xdr:colOff>
      <xdr:row>0</xdr:row>
      <xdr:rowOff>133350</xdr:rowOff>
    </xdr:from>
    <xdr:to>
      <xdr:col>14</xdr:col>
      <xdr:colOff>1179194</xdr:colOff>
      <xdr:row>3</xdr:row>
      <xdr:rowOff>17767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8620506" y="133350"/>
          <a:ext cx="674369" cy="589267"/>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14</xdr:col>
      <xdr:colOff>428625</xdr:colOff>
      <xdr:row>0</xdr:row>
      <xdr:rowOff>123825</xdr:rowOff>
    </xdr:from>
    <xdr:to>
      <xdr:col>14</xdr:col>
      <xdr:colOff>1102994</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8696706" y="123825"/>
          <a:ext cx="674369" cy="589267"/>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14</xdr:col>
      <xdr:colOff>466725</xdr:colOff>
      <xdr:row>0</xdr:row>
      <xdr:rowOff>171450</xdr:rowOff>
    </xdr:from>
    <xdr:to>
      <xdr:col>14</xdr:col>
      <xdr:colOff>1141094</xdr:colOff>
      <xdr:row>3</xdr:row>
      <xdr:rowOff>55867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8658606" y="171450"/>
          <a:ext cx="674369" cy="589267"/>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14</xdr:col>
      <xdr:colOff>495300</xdr:colOff>
      <xdr:row>0</xdr:row>
      <xdr:rowOff>76200</xdr:rowOff>
    </xdr:from>
    <xdr:to>
      <xdr:col>14</xdr:col>
      <xdr:colOff>1169669</xdr:colOff>
      <xdr:row>2</xdr:row>
      <xdr:rowOff>160642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8630031" y="76200"/>
          <a:ext cx="674369" cy="5892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752475</xdr:colOff>
      <xdr:row>0</xdr:row>
      <xdr:rowOff>104775</xdr:rowOff>
    </xdr:from>
    <xdr:to>
      <xdr:col>5</xdr:col>
      <xdr:colOff>1426844</xdr:colOff>
      <xdr:row>3</xdr:row>
      <xdr:rowOff>65392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4145006" y="104775"/>
          <a:ext cx="674369" cy="589267"/>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14</xdr:col>
      <xdr:colOff>447675</xdr:colOff>
      <xdr:row>0</xdr:row>
      <xdr:rowOff>142875</xdr:rowOff>
    </xdr:from>
    <xdr:to>
      <xdr:col>14</xdr:col>
      <xdr:colOff>1122044</xdr:colOff>
      <xdr:row>3</xdr:row>
      <xdr:rowOff>27292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8677656" y="142875"/>
          <a:ext cx="674369" cy="589267"/>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13</xdr:col>
      <xdr:colOff>514350</xdr:colOff>
      <xdr:row>0</xdr:row>
      <xdr:rowOff>133350</xdr:rowOff>
    </xdr:from>
    <xdr:to>
      <xdr:col>13</xdr:col>
      <xdr:colOff>1188719</xdr:colOff>
      <xdr:row>3</xdr:row>
      <xdr:rowOff>17767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58681" y="133350"/>
          <a:ext cx="674369" cy="589267"/>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13</xdr:col>
      <xdr:colOff>523875</xdr:colOff>
      <xdr:row>0</xdr:row>
      <xdr:rowOff>114300</xdr:rowOff>
    </xdr:from>
    <xdr:to>
      <xdr:col>13</xdr:col>
      <xdr:colOff>1198244</xdr:colOff>
      <xdr:row>2</xdr:row>
      <xdr:rowOff>227317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49156" y="114300"/>
          <a:ext cx="674369" cy="589267"/>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13</xdr:col>
      <xdr:colOff>533400</xdr:colOff>
      <xdr:row>0</xdr:row>
      <xdr:rowOff>85725</xdr:rowOff>
    </xdr:from>
    <xdr:to>
      <xdr:col>13</xdr:col>
      <xdr:colOff>1207769</xdr:colOff>
      <xdr:row>2</xdr:row>
      <xdr:rowOff>198742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39631" y="85725"/>
          <a:ext cx="674369" cy="589267"/>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16</xdr:col>
      <xdr:colOff>638175</xdr:colOff>
      <xdr:row>0</xdr:row>
      <xdr:rowOff>123825</xdr:rowOff>
    </xdr:from>
    <xdr:to>
      <xdr:col>16</xdr:col>
      <xdr:colOff>1312544</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7382256" y="123825"/>
          <a:ext cx="674369" cy="589267"/>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13</xdr:col>
      <xdr:colOff>600075</xdr:colOff>
      <xdr:row>0</xdr:row>
      <xdr:rowOff>133350</xdr:rowOff>
    </xdr:from>
    <xdr:to>
      <xdr:col>13</xdr:col>
      <xdr:colOff>1274444</xdr:colOff>
      <xdr:row>3</xdr:row>
      <xdr:rowOff>17767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306306" y="133350"/>
          <a:ext cx="674369" cy="589267"/>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9</xdr:col>
      <xdr:colOff>723900</xdr:colOff>
      <xdr:row>0</xdr:row>
      <xdr:rowOff>123825</xdr:rowOff>
    </xdr:from>
    <xdr:to>
      <xdr:col>9</xdr:col>
      <xdr:colOff>1398269</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1687556" y="123825"/>
          <a:ext cx="674369" cy="589267"/>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123825</xdr:colOff>
      <xdr:row>2</xdr:row>
      <xdr:rowOff>0</xdr:rowOff>
    </xdr:from>
    <xdr:to>
      <xdr:col>13</xdr:col>
      <xdr:colOff>342900</xdr:colOff>
      <xdr:row>34</xdr:row>
      <xdr:rowOff>28575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314325</xdr:colOff>
      <xdr:row>0</xdr:row>
      <xdr:rowOff>180975</xdr:rowOff>
    </xdr:from>
    <xdr:to>
      <xdr:col>13</xdr:col>
      <xdr:colOff>379094</xdr:colOff>
      <xdr:row>2</xdr:row>
      <xdr:rowOff>84442</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382506" y="180975"/>
          <a:ext cx="674369" cy="589267"/>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13</xdr:col>
      <xdr:colOff>619125</xdr:colOff>
      <xdr:row>0</xdr:row>
      <xdr:rowOff>133350</xdr:rowOff>
    </xdr:from>
    <xdr:to>
      <xdr:col>13</xdr:col>
      <xdr:colOff>1293494</xdr:colOff>
      <xdr:row>3</xdr:row>
      <xdr:rowOff>17767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77731" y="133350"/>
          <a:ext cx="674369" cy="589267"/>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11</xdr:col>
      <xdr:colOff>819150</xdr:colOff>
      <xdr:row>0</xdr:row>
      <xdr:rowOff>180975</xdr:rowOff>
    </xdr:from>
    <xdr:to>
      <xdr:col>11</xdr:col>
      <xdr:colOff>1493519</xdr:colOff>
      <xdr:row>3</xdr:row>
      <xdr:rowOff>36817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0458831" y="180975"/>
          <a:ext cx="674369" cy="5892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1</xdr:row>
      <xdr:rowOff>85725</xdr:rowOff>
    </xdr:from>
    <xdr:to>
      <xdr:col>12</xdr:col>
      <xdr:colOff>571500</xdr:colOff>
      <xdr:row>32</xdr:row>
      <xdr:rowOff>66675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390525</xdr:colOff>
      <xdr:row>0</xdr:row>
      <xdr:rowOff>142875</xdr:rowOff>
    </xdr:from>
    <xdr:to>
      <xdr:col>12</xdr:col>
      <xdr:colOff>455294</xdr:colOff>
      <xdr:row>2</xdr:row>
      <xdr:rowOff>151117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915906" y="142875"/>
          <a:ext cx="674369" cy="589267"/>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11</xdr:col>
      <xdr:colOff>790575</xdr:colOff>
      <xdr:row>0</xdr:row>
      <xdr:rowOff>133350</xdr:rowOff>
    </xdr:from>
    <xdr:to>
      <xdr:col>11</xdr:col>
      <xdr:colOff>1464944</xdr:colOff>
      <xdr:row>2</xdr:row>
      <xdr:rowOff>189217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0487406" y="133350"/>
          <a:ext cx="674369" cy="589267"/>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11</xdr:col>
      <xdr:colOff>704850</xdr:colOff>
      <xdr:row>0</xdr:row>
      <xdr:rowOff>152400</xdr:rowOff>
    </xdr:from>
    <xdr:to>
      <xdr:col>11</xdr:col>
      <xdr:colOff>1379219</xdr:colOff>
      <xdr:row>3</xdr:row>
      <xdr:rowOff>8242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0573131" y="152400"/>
          <a:ext cx="674369" cy="589267"/>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47625</xdr:colOff>
      <xdr:row>0</xdr:row>
      <xdr:rowOff>47625</xdr:rowOff>
    </xdr:from>
    <xdr:to>
      <xdr:col>13</xdr:col>
      <xdr:colOff>600075</xdr:colOff>
      <xdr:row>33</xdr:row>
      <xdr:rowOff>123825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438150</xdr:colOff>
      <xdr:row>0</xdr:row>
      <xdr:rowOff>95250</xdr:rowOff>
    </xdr:from>
    <xdr:to>
      <xdr:col>13</xdr:col>
      <xdr:colOff>502919</xdr:colOff>
      <xdr:row>4</xdr:row>
      <xdr:rowOff>36817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9258681" y="95250"/>
          <a:ext cx="674369" cy="589267"/>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11</xdr:col>
      <xdr:colOff>742950</xdr:colOff>
      <xdr:row>0</xdr:row>
      <xdr:rowOff>133350</xdr:rowOff>
    </xdr:from>
    <xdr:to>
      <xdr:col>11</xdr:col>
      <xdr:colOff>1417319</xdr:colOff>
      <xdr:row>2</xdr:row>
      <xdr:rowOff>189217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0535031" y="133350"/>
          <a:ext cx="674369" cy="589267"/>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11</xdr:col>
      <xdr:colOff>771525</xdr:colOff>
      <xdr:row>0</xdr:row>
      <xdr:rowOff>200025</xdr:rowOff>
    </xdr:from>
    <xdr:to>
      <xdr:col>11</xdr:col>
      <xdr:colOff>1445894</xdr:colOff>
      <xdr:row>3</xdr:row>
      <xdr:rowOff>55867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0506456" y="200025"/>
          <a:ext cx="674369" cy="589267"/>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11</xdr:col>
      <xdr:colOff>771525</xdr:colOff>
      <xdr:row>0</xdr:row>
      <xdr:rowOff>133350</xdr:rowOff>
    </xdr:from>
    <xdr:to>
      <xdr:col>11</xdr:col>
      <xdr:colOff>1445894</xdr:colOff>
      <xdr:row>2</xdr:row>
      <xdr:rowOff>189217</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0506456" y="133350"/>
          <a:ext cx="674369" cy="589267"/>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14</xdr:col>
      <xdr:colOff>1075765</xdr:colOff>
      <xdr:row>1</xdr:row>
      <xdr:rowOff>11206</xdr:rowOff>
    </xdr:from>
    <xdr:to>
      <xdr:col>14</xdr:col>
      <xdr:colOff>1750134</xdr:colOff>
      <xdr:row>4</xdr:row>
      <xdr:rowOff>6562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05280808" y="246530"/>
          <a:ext cx="674369" cy="589267"/>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14</xdr:col>
      <xdr:colOff>1075765</xdr:colOff>
      <xdr:row>0</xdr:row>
      <xdr:rowOff>179294</xdr:rowOff>
    </xdr:from>
    <xdr:to>
      <xdr:col>14</xdr:col>
      <xdr:colOff>1750134</xdr:colOff>
      <xdr:row>3</xdr:row>
      <xdr:rowOff>141032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05280808" y="179294"/>
          <a:ext cx="674369" cy="589267"/>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14</xdr:col>
      <xdr:colOff>1008529</xdr:colOff>
      <xdr:row>0</xdr:row>
      <xdr:rowOff>190500</xdr:rowOff>
    </xdr:from>
    <xdr:to>
      <xdr:col>14</xdr:col>
      <xdr:colOff>1682898</xdr:colOff>
      <xdr:row>3</xdr:row>
      <xdr:rowOff>152238</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05348044" y="190500"/>
          <a:ext cx="674369" cy="589267"/>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12</xdr:col>
      <xdr:colOff>495300</xdr:colOff>
      <xdr:row>35</xdr:row>
      <xdr:rowOff>133350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238125</xdr:colOff>
      <xdr:row>0</xdr:row>
      <xdr:rowOff>152400</xdr:rowOff>
    </xdr:from>
    <xdr:to>
      <xdr:col>12</xdr:col>
      <xdr:colOff>302894</xdr:colOff>
      <xdr:row>4</xdr:row>
      <xdr:rowOff>93967</xdr:rowOff>
    </xdr:to>
    <xdr:pic>
      <xdr:nvPicPr>
        <xdr:cNvPr id="3" name="Picture 2"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80068306" y="152400"/>
          <a:ext cx="674369" cy="589267"/>
        </a:xfrm>
        <a:prstGeom prst="rect">
          <a:avLst/>
        </a:prstGeom>
      </xdr:spPr>
    </xdr:pic>
    <xdr:clientData/>
  </xdr:twoCellAnchor>
</xdr:wsDr>
</file>

<file path=xl/queryTables/queryTable1.xml><?xml version="1.0" encoding="utf-8"?>
<queryTable xmlns="http://schemas.openxmlformats.org/spreadsheetml/2006/main" name="(Default) XLS_TAB_1" headers="0" backgroundRefresh="0" growShrinkType="overwriteClear" adjustColumnWidth="0" connectionId="1" autoFormatId="16" applyNumberFormats="0" applyBorderFormats="0" applyFontFormats="0" applyPatternFormats="0" applyAlignmentFormats="0" applyWidthHeightFormats="0">
  <queryTableRefresh headersInLastRefresh="0" nextId="15">
    <queryTableFields count="14">
      <queryTableField id="1" name="YEAR_AR" tableColumnId="253"/>
      <queryTableField id="2" name="M_QTRI_COUNT" tableColumnId="254"/>
      <queryTableField id="3" name="M_QTRI_PSG" tableColumnId="255"/>
      <queryTableField id="4" name="M_NQTRI_COUNT" tableColumnId="256"/>
      <queryTableField id="5" name="M_NQTRI_PSG" tableColumnId="257"/>
      <queryTableField id="6" name="M_QTRI_TOT_COUNT" tableColumnId="258"/>
      <queryTableField id="7" name="M_QTRI_TOT_PSG" tableColumnId="259"/>
      <queryTableField id="8" name="D_QTRI_COUNT" tableColumnId="260"/>
      <queryTableField id="9" name="D_QTRI_PSG" tableColumnId="261"/>
      <queryTableField id="10" name="D_NQTRI_COUNT" tableColumnId="262"/>
      <queryTableField id="11" name="D_NQTRI_PSG" tableColumnId="263"/>
      <queryTableField id="12" name="D_QTRI_TOT_COUNT" tableColumnId="264"/>
      <queryTableField id="13" name="D_QTRI_TOT_PSG" tableColumnId="265"/>
      <queryTableField id="14" name="YEAR_ENG" tableColumnId="266"/>
    </queryTableFields>
  </queryTableRefresh>
</queryTable>
</file>

<file path=xl/queryTables/queryTable10.xml><?xml version="1.0" encoding="utf-8"?>
<queryTable xmlns="http://schemas.openxmlformats.org/spreadsheetml/2006/main" name="(Default) XLS_TAB_11_2" headers="0" backgroundRefresh="0" growShrinkType="overwriteClear" adjustColumnWidth="0" connectionId="4"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11.xml><?xml version="1.0" encoding="utf-8"?>
<queryTable xmlns="http://schemas.openxmlformats.org/spreadsheetml/2006/main" name="(Default) XLS_TAB_11_3" headers="0" backgroundRefresh="0" growShrinkType="overwriteClear" adjustColumnWidth="0" connectionId="5"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12.xml><?xml version="1.0" encoding="utf-8"?>
<queryTable xmlns="http://schemas.openxmlformats.org/spreadsheetml/2006/main" name="(Default) XLS_TAB_12_1" headers="0" backgroundRefresh="0" growShrinkType="overwriteClear" adjustColumnWidth="0" connectionId="6"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O_WIFE_0" tableColumnId="2"/>
      <queryTableField id="3" name="NO_WIFE_1" tableColumnId="3"/>
      <queryTableField id="4" name="NO_WIFE_2" tableColumnId="4"/>
      <queryTableField id="5" name="NO_WIFE_3" tableColumnId="5"/>
      <queryTableField id="6" name="NO_WIFE_NOT_STATED" tableColumnId="6"/>
      <queryTableField id="7" name="TOTAL" tableColumnId="7"/>
      <queryTableField id="8" name="AGE_LEVEL_HUSBD_ENG" tableColumnId="8"/>
    </queryTableFields>
  </queryTableRefresh>
</queryTable>
</file>

<file path=xl/queryTables/queryTable13.xml><?xml version="1.0" encoding="utf-8"?>
<queryTable xmlns="http://schemas.openxmlformats.org/spreadsheetml/2006/main" name="(Default) XLS_TAB_12_2" headers="0" backgroundRefresh="0" growShrinkType="overwriteClear" adjustColumnWidth="0" connectionId="7"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O_WIFE_0" tableColumnId="2"/>
      <queryTableField id="3" name="NO_WIFE_1" tableColumnId="3"/>
      <queryTableField id="4" name="NO_WIFE_2" tableColumnId="4"/>
      <queryTableField id="5" name="NO_WIFE_3" tableColumnId="5"/>
      <queryTableField id="6" name="NO_WIFE_NOT_STATED" tableColumnId="6"/>
      <queryTableField id="7" name="TOTAL" tableColumnId="7"/>
      <queryTableField id="8" name="AGE_LEVEL_HUSBD_ENG" tableColumnId="8"/>
    </queryTableFields>
  </queryTableRefresh>
</queryTable>
</file>

<file path=xl/queryTables/queryTable14.xml><?xml version="1.0" encoding="utf-8"?>
<queryTable xmlns="http://schemas.openxmlformats.org/spreadsheetml/2006/main" name="(Default) XLS_TAB_12_3" headers="0" backgroundRefresh="0" growShrinkType="overwriteClear" adjustColumnWidth="0" connectionId="8"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O_WIFE_0" tableColumnId="2"/>
      <queryTableField id="3" name="NO_WIFE_1" tableColumnId="3"/>
      <queryTableField id="4" name="NO_WIFE_2" tableColumnId="4"/>
      <queryTableField id="5" name="NO_WIFE_3" tableColumnId="5"/>
      <queryTableField id="6" name="NO_WIFE_NOT_STATED" tableColumnId="6"/>
      <queryTableField id="7" name="TOTAL" tableColumnId="7"/>
      <queryTableField id="8" name="AGE_LEVEL_HUSBD_ENG" tableColumnId="8"/>
    </queryTableFields>
  </queryTableRefresh>
</queryTable>
</file>

<file path=xl/queryTables/queryTable15.xml><?xml version="1.0" encoding="utf-8"?>
<queryTable xmlns="http://schemas.openxmlformats.org/spreadsheetml/2006/main" name="(Default) XLS_TAB_13_1" headers="0" backgroundRefresh="0" growShrinkType="overwriteClear" adjustColumnWidth="0" connectionId="9"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EVER_MARR" tableColumnId="2"/>
      <queryTableField id="3" name="MARRIED" tableColumnId="3"/>
      <queryTableField id="4" name="DIVORCES" tableColumnId="4"/>
      <queryTableField id="5" name="WIDOWED" tableColumnId="5"/>
      <queryTableField id="6" name="NOT_STATED" tableColumnId="6"/>
      <queryTableField id="7" name="TOTAL" tableColumnId="7"/>
      <queryTableField id="8" name="AGE_LEVEL_HUSBD_ENG" tableColumnId="8"/>
    </queryTableFields>
  </queryTableRefresh>
</queryTable>
</file>

<file path=xl/queryTables/queryTable16.xml><?xml version="1.0" encoding="utf-8"?>
<queryTable xmlns="http://schemas.openxmlformats.org/spreadsheetml/2006/main" name="(Default) XLS_TAB_13_2" headers="0" backgroundRefresh="0" growShrinkType="overwriteClear" adjustColumnWidth="0" connectionId="10"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EVER_MARR" tableColumnId="2"/>
      <queryTableField id="3" name="MARRIED" tableColumnId="3"/>
      <queryTableField id="4" name="DIVORCES" tableColumnId="4"/>
      <queryTableField id="5" name="WIDOWED" tableColumnId="5"/>
      <queryTableField id="6" name="NOT_STATED" tableColumnId="6"/>
      <queryTableField id="7" name="TOTAL" tableColumnId="7"/>
      <queryTableField id="8" name="AGE_LEVEL_HUSBD_ENG" tableColumnId="8"/>
    </queryTableFields>
  </queryTableRefresh>
</queryTable>
</file>

<file path=xl/queryTables/queryTable17.xml><?xml version="1.0" encoding="utf-8"?>
<queryTable xmlns="http://schemas.openxmlformats.org/spreadsheetml/2006/main" name="(Default) XLS_TAB_13_3" headers="0" backgroundRefresh="0" growShrinkType="overwriteClear" adjustColumnWidth="0" connectionId="11"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EVER_MARR" tableColumnId="2"/>
      <queryTableField id="3" name="MARRIED" tableColumnId="3"/>
      <queryTableField id="4" name="DIVORCES" tableColumnId="4"/>
      <queryTableField id="5" name="WIDOWED" tableColumnId="5"/>
      <queryTableField id="6" name="NOT_STATED" tableColumnId="6"/>
      <queryTableField id="7" name="TOTAL" tableColumnId="7"/>
      <queryTableField id="8" name="AGE_LEVEL_HUSBD_ENG" tableColumnId="8"/>
    </queryTableFields>
  </queryTableRefresh>
</queryTable>
</file>

<file path=xl/queryTables/queryTable18.xml><?xml version="1.0" encoding="utf-8"?>
<queryTable xmlns="http://schemas.openxmlformats.org/spreadsheetml/2006/main" name="(Default) XLS_TAB_14_1" headers="0" backgroundRefresh="0" growShrinkType="overwriteClear" adjustColumnWidth="0" connectionId="12" autoFormatId="16" applyNumberFormats="0" applyBorderFormats="0" applyFontFormats="0" applyPatternFormats="0" applyAlignmentFormats="0" applyWidthHeightFormats="0">
  <queryTableRefresh headersInLastRefresh="0" nextId="8">
    <queryTableFields count="7">
      <queryTableField id="1" name="AGE_LEVEL_HUSBD_ARB" tableColumnId="1"/>
      <queryTableField id="2" name="NOT_MARRIED" tableColumnId="2"/>
      <queryTableField id="3" name="DIVORCES" tableColumnId="3"/>
      <queryTableField id="4" name="WIDOWED" tableColumnId="4"/>
      <queryTableField id="5" name="NOT_STATED" tableColumnId="5"/>
      <queryTableField id="6" name="TOTAL" tableColumnId="6"/>
      <queryTableField id="7" name="AGE_LEVEL_HUSBD_ENG" tableColumnId="7"/>
    </queryTableFields>
  </queryTableRefresh>
</queryTable>
</file>

<file path=xl/queryTables/queryTable19.xml><?xml version="1.0" encoding="utf-8"?>
<queryTable xmlns="http://schemas.openxmlformats.org/spreadsheetml/2006/main" name="(Default) XLS_TAB_14_2" headers="0" backgroundRefresh="0" growShrinkType="overwriteClear" adjustColumnWidth="0" connectionId="13" autoFormatId="16" applyNumberFormats="0" applyBorderFormats="0" applyFontFormats="0" applyPatternFormats="0" applyAlignmentFormats="0" applyWidthHeightFormats="0">
  <queryTableRefresh headersInLastRefresh="0" nextId="8">
    <queryTableFields count="7">
      <queryTableField id="1" name="AGE_LEVEL_HUSBD_ARB" tableColumnId="1"/>
      <queryTableField id="2" name="NOT_MARRIED" tableColumnId="2"/>
      <queryTableField id="3" name="DIVORCES" tableColumnId="3"/>
      <queryTableField id="4" name="WIDOWED" tableColumnId="4"/>
      <queryTableField id="5" name="NOT_STATED" tableColumnId="5"/>
      <queryTableField id="6" name="TOTAL" tableColumnId="6"/>
      <queryTableField id="7" name="AGE_LEVEL_HUSBD_ENG" tableColumnId="7"/>
    </queryTableFields>
  </queryTableRefresh>
</queryTable>
</file>

<file path=xl/queryTables/queryTable2.xml><?xml version="1.0" encoding="utf-8"?>
<queryTable xmlns="http://schemas.openxmlformats.org/spreadsheetml/2006/main" name="(Default) XLS_TAB_2" headers="0" backgroundRefresh="0" growShrinkType="overwriteClear" adjustColumnWidth="0" connectionId="28" autoFormatId="16" applyNumberFormats="0" applyBorderFormats="0" applyFontFormats="0" applyPatternFormats="0" applyAlignmentFormats="0" applyWidthHeightFormats="0">
  <queryTableRefresh headersInLastRefresh="0" nextId="15">
    <queryTableFields count="14">
      <queryTableField id="1" name="YEAR_AR" tableColumnId="1"/>
      <queryTableField id="2" name="M_QTRI_COUNT" tableColumnId="2"/>
      <queryTableField id="3" name="M_NQTRI_COUNT" tableColumnId="3"/>
      <queryTableField id="4" name="M_QTRI_TOT_COUNT" tableColumnId="4"/>
      <queryTableField id="5" name="M_QTRI_W_COUNT" tableColumnId="5"/>
      <queryTableField id="6" name="M_NQTRI_W_COUNT" tableColumnId="6"/>
      <queryTableField id="7" name="M_QTRI_TOT_COUNT" tableColumnId="7"/>
      <queryTableField id="8" name="D_QTRI_COUNT" tableColumnId="8"/>
      <queryTableField id="9" name="D_NQTRI_COUNT" tableColumnId="9"/>
      <queryTableField id="10" name="D_QTRI_TOT_COUNT" tableColumnId="10"/>
      <queryTableField id="11" name="D_QTRI_W_COUNT" tableColumnId="11"/>
      <queryTableField id="12" name="D_NQTRI_W_COUNT" tableColumnId="12"/>
      <queryTableField id="13" name="D_QTRI_TOT_COUNT" tableColumnId="13"/>
      <queryTableField id="14" name="YEAR_ENG" tableColumnId="14"/>
    </queryTableFields>
  </queryTableRefresh>
</queryTable>
</file>

<file path=xl/queryTables/queryTable20.xml><?xml version="1.0" encoding="utf-8"?>
<queryTable xmlns="http://schemas.openxmlformats.org/spreadsheetml/2006/main" name="(Default) XLS_TAB_14_3" headers="0" backgroundRefresh="0" growShrinkType="overwriteClear" adjustColumnWidth="0" connectionId="14" autoFormatId="16" applyNumberFormats="0" applyBorderFormats="0" applyFontFormats="0" applyPatternFormats="0" applyAlignmentFormats="0" applyWidthHeightFormats="0">
  <queryTableRefresh headersInLastRefresh="0" nextId="8">
    <queryTableFields count="7">
      <queryTableField id="1" name="AGE_LEVEL_HUSBD_ARB" tableColumnId="1"/>
      <queryTableField id="2" name="NOT_MARRIED" tableColumnId="2"/>
      <queryTableField id="3" name="DIVORCES" tableColumnId="3"/>
      <queryTableField id="4" name="WIDOWED" tableColumnId="4"/>
      <queryTableField id="5" name="NOT_STATED" tableColumnId="5"/>
      <queryTableField id="6" name="TOTAL" tableColumnId="6"/>
      <queryTableField id="7" name="AGE_LEVEL_HUSBD_ENG" tableColumnId="7"/>
    </queryTableFields>
  </queryTableRefresh>
</queryTable>
</file>

<file path=xl/queryTables/queryTable21.xml><?xml version="1.0" encoding="utf-8"?>
<queryTable xmlns="http://schemas.openxmlformats.org/spreadsheetml/2006/main" name="(Default) XLS_TAB_15_1" headers="0" backgroundRefresh="0" growShrinkType="overwriteClear" adjustColumnWidth="0" connectionId="15" autoFormatId="16" applyNumberFormats="0" applyBorderFormats="0" applyFontFormats="0" applyPatternFormats="0" applyAlignmentFormats="0" applyWidthHeightFormats="0">
  <queryTableRefresh headersInLastRefresh="0" nextId="7">
    <queryTableFields count="6">
      <queryTableField id="1" name="AGE_LEVEL_ARB" tableColumnId="1"/>
      <queryTableField id="2" name="HUSBD_CNT" tableColumnId="2"/>
      <queryTableField id="3" name="WIFE_CNT" tableColumnId="3"/>
      <queryTableField id="4" name="TOTAL" tableColumnId="4"/>
      <queryTableField id="5" name="PSTG" tableColumnId="5"/>
      <queryTableField id="6" name="AGE_LEVEL_ENG" tableColumnId="6"/>
    </queryTableFields>
  </queryTableRefresh>
</queryTable>
</file>

<file path=xl/queryTables/queryTable22.xml><?xml version="1.0" encoding="utf-8"?>
<queryTable xmlns="http://schemas.openxmlformats.org/spreadsheetml/2006/main" name="(Default) XLS_TAB_15_2" headers="0" backgroundRefresh="0" growShrinkType="overwriteClear" adjustColumnWidth="0" connectionId="16" autoFormatId="16" applyNumberFormats="0" applyBorderFormats="0" applyFontFormats="0" applyPatternFormats="0" applyAlignmentFormats="0" applyWidthHeightFormats="0">
  <queryTableRefresh headersInLastRefresh="0" nextId="7">
    <queryTableFields count="6">
      <queryTableField id="1" name="AGE_LEVEL_ARB" tableColumnId="1"/>
      <queryTableField id="2" name="HUSBD_CNT" tableColumnId="2"/>
      <queryTableField id="3" name="WIFE_CNT" tableColumnId="3"/>
      <queryTableField id="4" name="TOTAL" tableColumnId="4"/>
      <queryTableField id="5" name="PSTG" tableColumnId="5"/>
      <queryTableField id="6" name="AGE_LEVEL_ENG" tableColumnId="6"/>
    </queryTableFields>
  </queryTableRefresh>
</queryTable>
</file>

<file path=xl/queryTables/queryTable23.xml><?xml version="1.0" encoding="utf-8"?>
<queryTable xmlns="http://schemas.openxmlformats.org/spreadsheetml/2006/main" name="(Default) XLS_TAB_15_3" headers="0" backgroundRefresh="0" growShrinkType="overwriteClear" adjustColumnWidth="0" connectionId="17" autoFormatId="16" applyNumberFormats="0" applyBorderFormats="0" applyFontFormats="0" applyPatternFormats="0" applyAlignmentFormats="0" applyWidthHeightFormats="0">
  <queryTableRefresh headersInLastRefresh="0" nextId="7">
    <queryTableFields count="6">
      <queryTableField id="1" name="AGE_LEVEL_ARB" tableColumnId="1"/>
      <queryTableField id="2" name="HUSBD_CNT" tableColumnId="2"/>
      <queryTableField id="3" name="WIFE_CNT" tableColumnId="3"/>
      <queryTableField id="4" name="TOTAL" tableColumnId="4"/>
      <queryTableField id="5" name="PSTG" tableColumnId="5"/>
      <queryTableField id="6" name="AGE_LEVEL_ENG" tableColumnId="6"/>
    </queryTableFields>
  </queryTableRefresh>
</queryTable>
</file>

<file path=xl/queryTables/queryTable24.xml><?xml version="1.0" encoding="utf-8"?>
<queryTable xmlns="http://schemas.openxmlformats.org/spreadsheetml/2006/main" name="(Default) XLS_TAB_16_1" headers="0" backgroundRefresh="0" growShrinkType="overwriteClear" adjustColumnWidth="0" connectionId="18"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25.xml><?xml version="1.0" encoding="utf-8"?>
<queryTable xmlns="http://schemas.openxmlformats.org/spreadsheetml/2006/main" name="(Default) XLS_TAB_16_2" headers="0" backgroundRefresh="0" growShrinkType="overwriteClear" adjustColumnWidth="0" connectionId="19"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26.xml><?xml version="1.0" encoding="utf-8"?>
<queryTable xmlns="http://schemas.openxmlformats.org/spreadsheetml/2006/main" name="(Default) XLS_TAB_16_3" headers="0" backgroundRefresh="0" growShrinkType="overwriteClear" adjustColumnWidth="0" connectionId="20"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27.xml><?xml version="1.0" encoding="utf-8"?>
<queryTable xmlns="http://schemas.openxmlformats.org/spreadsheetml/2006/main" name="(Default) XLS_TAB_17_1" headers="0" backgroundRefresh="0" growShrinkType="overwriteClear" adjustColumnWidth="0" connectionId="21"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28.xml><?xml version="1.0" encoding="utf-8"?>
<queryTable xmlns="http://schemas.openxmlformats.org/spreadsheetml/2006/main" name="(Default) XLS_TAB_17_2" headers="0" backgroundRefresh="0" growShrinkType="overwriteClear" adjustColumnWidth="0" connectionId="22"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29.xml><?xml version="1.0" encoding="utf-8"?>
<queryTable xmlns="http://schemas.openxmlformats.org/spreadsheetml/2006/main" name="(Default) XLS_TAB_17_3" headers="0" backgroundRefresh="0" growShrinkType="overwriteClear" adjustColumnWidth="0" connectionId="23"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3.xml><?xml version="1.0" encoding="utf-8"?>
<queryTable xmlns="http://schemas.openxmlformats.org/spreadsheetml/2006/main" name="(Default) XLS_TAB_6" headers="0" backgroundRefresh="0" growShrinkType="overwriteClear" adjustColumnWidth="0" connectionId="81" autoFormatId="16" applyNumberFormats="0" applyBorderFormats="0" applyFontFormats="0" applyPatternFormats="0" applyAlignmentFormats="0" applyWidthHeightFormats="0">
  <queryTableRefresh headersInLastRefresh="0" nextId="9">
    <queryTableFields count="5">
      <queryTableField id="1" name="AREA_AR" tableColumnId="1"/>
      <queryTableField id="2" name="M_QTRI_COUNT" tableColumnId="2"/>
      <queryTableField id="3" name="M_NQTRI_COUNT" tableColumnId="3"/>
      <queryTableField id="4" name="M_QTRI_TOT_COUNT" tableColumnId="4"/>
      <queryTableField id="8" name="AREA_ENG" tableColumnId="8"/>
    </queryTableFields>
  </queryTableRefresh>
</queryTable>
</file>

<file path=xl/queryTables/queryTable30.xml><?xml version="1.0" encoding="utf-8"?>
<queryTable xmlns="http://schemas.openxmlformats.org/spreadsheetml/2006/main" name="(Default) XLS_TAB_18_1" headers="0" backgroundRefresh="0" growShrinkType="overwriteClear" adjustColumnWidth="0" connectionId="24"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31.xml><?xml version="1.0" encoding="utf-8"?>
<queryTable xmlns="http://schemas.openxmlformats.org/spreadsheetml/2006/main" name="(Default) XLS_TAB_18_2" headers="0" backgroundRefresh="0" growShrinkType="overwriteClear" adjustColumnWidth="0" connectionId="25"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32.xml><?xml version="1.0" encoding="utf-8"?>
<queryTable xmlns="http://schemas.openxmlformats.org/spreadsheetml/2006/main" name="(Default) XLS_TAB_18_3" headers="0" backgroundRefresh="0" growShrinkType="overwriteClear" adjustColumnWidth="0" connectionId="26"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33.xml><?xml version="1.0" encoding="utf-8"?>
<queryTable xmlns="http://schemas.openxmlformats.org/spreadsheetml/2006/main" name="(Default) XLS_TAB_19" headers="0" backgroundRefresh="0" growShrinkType="overwriteClear" adjustColumnWidth="0" connectionId="27" autoFormatId="16" applyNumberFormats="0" applyBorderFormats="0" applyFontFormats="0" applyPatternFormats="0" applyAlignmentFormats="0" applyWidthHeightFormats="0">
  <queryTableRefresh headersInLastRefresh="0" nextId="9">
    <queryTableFields count="8">
      <queryTableField id="1" name="CNT_0" tableColumnId="1"/>
      <queryTableField id="2" name="CNT_1" tableColumnId="2"/>
      <queryTableField id="3" name="CNT_2" tableColumnId="3"/>
      <queryTableField id="4" name="CNT_3" tableColumnId="4"/>
      <queryTableField id="5" name="CNT_4" tableColumnId="5"/>
      <queryTableField id="6" name="CNT_5" tableColumnId="6"/>
      <queryTableField id="7" name="CNT_6" tableColumnId="7"/>
      <queryTableField id="8" name="NOT_STATED" tableColumnId="8"/>
    </queryTableFields>
  </queryTableRefresh>
</queryTable>
</file>

<file path=xl/queryTables/queryTable34.xml><?xml version="1.0" encoding="utf-8"?>
<queryTable xmlns="http://schemas.openxmlformats.org/spreadsheetml/2006/main" name="(Default) XLS_TAB_20" headers="0" backgroundRefresh="0" growShrinkType="overwriteClear" adjustColumnWidth="0" connectionId="29" autoFormatId="16" applyNumberFormats="0" applyBorderFormats="0" applyFontFormats="0" applyPatternFormats="0" applyAlignmentFormats="0" applyWidthHeightFormats="0">
  <queryTableRefresh headersInLastRefresh="0" nextId="9">
    <queryTableFields count="8">
      <queryTableField id="1" name="CNT_0" tableColumnId="1"/>
      <queryTableField id="2" name="CNT_1" tableColumnId="2"/>
      <queryTableField id="3" name="CNT_2" tableColumnId="3"/>
      <queryTableField id="4" name="CNT_3" tableColumnId="4"/>
      <queryTableField id="5" name="CNT_4" tableColumnId="5"/>
      <queryTableField id="6" name="CNT_5" tableColumnId="6"/>
      <queryTableField id="7" name="CNT_6" tableColumnId="7"/>
      <queryTableField id="8" name="NOT_STATED" tableColumnId="8"/>
    </queryTableFields>
  </queryTableRefresh>
</queryTable>
</file>

<file path=xl/queryTables/queryTable35.xml><?xml version="1.0" encoding="utf-8"?>
<queryTable xmlns="http://schemas.openxmlformats.org/spreadsheetml/2006/main" name="(Default) XLS_TAB_6" headers="0" backgroundRefresh="0" growShrinkType="overwriteClear" adjustColumnWidth="0" connectionId="83" autoFormatId="16" applyNumberFormats="0" applyBorderFormats="0" applyFontFormats="0" applyPatternFormats="0" applyAlignmentFormats="0" applyWidthHeightFormats="0">
  <queryTableRefresh headersInLastRefresh="0" nextId="9">
    <queryTableFields count="5">
      <queryTableField id="1" name="AREA_AR" tableColumnId="1"/>
      <queryTableField id="2" dataBound="0" tableColumnId="2"/>
      <queryTableField id="3" dataBound="0" tableColumnId="3"/>
      <queryTableField id="4" name="M_QTRI_TOT_COUNT" tableColumnId="4"/>
      <queryTableField id="8" name="AREA_ENG" tableColumnId="8"/>
    </queryTableFields>
    <queryTableDeletedFields count="2">
      <deletedField name="M_QTRI_COUNT"/>
      <deletedField name="M_NQTRI_COUNT"/>
    </queryTableDeletedFields>
  </queryTableRefresh>
</queryTable>
</file>

<file path=xl/queryTables/queryTable36.xml><?xml version="1.0" encoding="utf-8"?>
<queryTable xmlns="http://schemas.openxmlformats.org/spreadsheetml/2006/main" name="(Default) XLS_TAB_6" headers="0" backgroundRefresh="0" growShrinkType="overwriteClear" adjustColumnWidth="0" connectionId="84" autoFormatId="16" applyNumberFormats="0" applyBorderFormats="0" applyFontFormats="0" applyPatternFormats="0" applyAlignmentFormats="0" applyWidthHeightFormats="0">
  <queryTableRefresh headersInLastRefresh="0" nextId="9">
    <queryTableFields count="5">
      <queryTableField id="1" name="AREA_AR" tableColumnId="1"/>
      <queryTableField id="2" dataBound="0" tableColumnId="2"/>
      <queryTableField id="3" dataBound="0" tableColumnId="3"/>
      <queryTableField id="4" name="M_QTRI_TOT_COUNT" tableColumnId="4"/>
      <queryTableField id="8" name="AREA_ENG" tableColumnId="8"/>
    </queryTableFields>
    <queryTableDeletedFields count="2">
      <deletedField name="M_QTRI_COUNT"/>
      <deletedField name="M_NQTRI_COUNT"/>
    </queryTableDeletedFields>
  </queryTableRefresh>
</queryTable>
</file>

<file path=xl/queryTables/queryTable37.xml><?xml version="1.0" encoding="utf-8"?>
<queryTable xmlns="http://schemas.openxmlformats.org/spreadsheetml/2006/main" name="(Default) XLS_TAB_23" headers="0" backgroundRefresh="0" growShrinkType="overwriteClear" adjustColumnWidth="0" connectionId="30" autoFormatId="16" applyNumberFormats="0" applyBorderFormats="0" applyFontFormats="0" applyPatternFormats="0" applyAlignmentFormats="0" applyWidthHeightFormats="0">
  <queryTableRefresh headersInLastRefresh="0" nextId="7">
    <queryTableFields count="6">
      <queryTableField id="1" name="M_QTRI_COUNT" tableColumnId="1"/>
      <queryTableField id="2" name="M_NQTRI_COUNT" tableColumnId="2"/>
      <queryTableField id="3" name="M_QTRI_TOT_COUNT" tableColumnId="3"/>
      <queryTableField id="4" name="W_QTRI_COUNT" tableColumnId="4"/>
      <queryTableField id="5" name="W_NQTRI_COUNT" tableColumnId="5"/>
      <queryTableField id="6" name="W_QTRI_TOT_COUNT" tableColumnId="6"/>
    </queryTableFields>
  </queryTableRefresh>
</queryTable>
</file>

<file path=xl/queryTables/queryTable38.xml><?xml version="1.0" encoding="utf-8"?>
<queryTable xmlns="http://schemas.openxmlformats.org/spreadsheetml/2006/main" name="(Default) XLS_TAB_24" headers="0" backgroundRefresh="0" growShrinkType="overwriteClear" adjustColumnWidth="0" connectionId="31"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39.xml><?xml version="1.0" encoding="utf-8"?>
<queryTable xmlns="http://schemas.openxmlformats.org/spreadsheetml/2006/main" name="(Default) XLS_TAB_25_1" headers="0" backgroundRefresh="0" growShrinkType="overwriteClear" adjustColumnWidth="0" connectionId="32"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xml><?xml version="1.0" encoding="utf-8"?>
<queryTable xmlns="http://schemas.openxmlformats.org/spreadsheetml/2006/main" name="(Default) XLS_TAB_6" headers="0" backgroundRefresh="0" growShrinkType="overwriteClear" adjustColumnWidth="0" connectionId="82" autoFormatId="16" applyNumberFormats="0" applyBorderFormats="0" applyFontFormats="0" applyPatternFormats="0" applyAlignmentFormats="0" applyWidthHeightFormats="0">
  <queryTableRefresh headersInLastRefresh="0" nextId="9">
    <queryTableFields count="5">
      <queryTableField id="1" name="AREA_AR" tableColumnId="1"/>
      <queryTableField id="2" name="M_QTRI_COUNT" tableColumnId="2"/>
      <queryTableField id="3" name="M_NQTRI_COUNT" tableColumnId="3"/>
      <queryTableField id="4" name="M_QTRI_TOT_COUNT" tableColumnId="4"/>
      <queryTableField id="8" name="AREA_ENG" tableColumnId="8"/>
    </queryTableFields>
  </queryTableRefresh>
</queryTable>
</file>

<file path=xl/queryTables/queryTable40.xml><?xml version="1.0" encoding="utf-8"?>
<queryTable xmlns="http://schemas.openxmlformats.org/spreadsheetml/2006/main" name="(Default) XLS_TAB_25_2" headers="0" backgroundRefresh="0" growShrinkType="overwriteClear" adjustColumnWidth="0" connectionId="33"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1.xml><?xml version="1.0" encoding="utf-8"?>
<queryTable xmlns="http://schemas.openxmlformats.org/spreadsheetml/2006/main" name="(Default) XLS_TAB_25_3" headers="0" backgroundRefresh="0" growShrinkType="overwriteClear" adjustColumnWidth="0" connectionId="34"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2.xml><?xml version="1.0" encoding="utf-8"?>
<queryTable xmlns="http://schemas.openxmlformats.org/spreadsheetml/2006/main" name="(Default) XLS_TAB_26_2" headers="0" backgroundRefresh="0" growShrinkType="overwriteClear" adjustColumnWidth="0" connectionId="36"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3.xml><?xml version="1.0" encoding="utf-8"?>
<queryTable xmlns="http://schemas.openxmlformats.org/spreadsheetml/2006/main" name="(Default) XLS_TAB_26_2" headers="0" backgroundRefresh="0" growShrinkType="overwriteClear" adjustColumnWidth="0" connectionId="35"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4.xml><?xml version="1.0" encoding="utf-8"?>
<queryTable xmlns="http://schemas.openxmlformats.org/spreadsheetml/2006/main" name="(Default) XLS_TAB_26_2" headers="0" backgroundRefresh="0" growShrinkType="overwriteClear" adjustColumnWidth="0" connectionId="37"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5.xml><?xml version="1.0" encoding="utf-8"?>
<queryTable xmlns="http://schemas.openxmlformats.org/spreadsheetml/2006/main" name="(Default) XLS_TAB_27_2" headers="0" backgroundRefresh="0" growShrinkType="overwriteClear" adjustColumnWidth="0" connectionId="40" autoFormatId="16" applyNumberFormats="0" applyBorderFormats="0" applyFontFormats="0" applyPatternFormats="0" applyAlignmentFormats="0" applyWidthHeightFormats="0">
  <queryTableRefresh headersInLastRefresh="0" nextId="7">
    <queryTableFields count="6">
      <queryTableField id="1" name="BAAN_SMALLER_CNT" tableColumnId="1"/>
      <queryTableField id="2" name="RAJEE_CNT" tableColumnId="2"/>
      <queryTableField id="3" name="KHULLA_CNT" tableColumnId="3"/>
      <queryTableField id="4" name="BAAN_GREATER_CNT" tableColumnId="4"/>
      <queryTableField id="6" dataBound="0" tableColumnId="6"/>
      <queryTableField id="5" name="TOTAL" tableColumnId="5"/>
    </queryTableFields>
  </queryTableRefresh>
</queryTable>
</file>

<file path=xl/queryTables/queryTable46.xml><?xml version="1.0" encoding="utf-8"?>
<queryTable xmlns="http://schemas.openxmlformats.org/spreadsheetml/2006/main" name="(Default) XLS_TAB_27_1" headers="0" backgroundRefresh="0" growShrinkType="overwriteClear" adjustColumnWidth="0" connectionId="38"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7.xml><?xml version="1.0" encoding="utf-8"?>
<queryTable xmlns="http://schemas.openxmlformats.org/spreadsheetml/2006/main" name="(Default) XLS_TAB_27_1" headers="0" backgroundRefresh="0" growShrinkType="overwriteClear" adjustColumnWidth="0" connectionId="39"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8.xml><?xml version="1.0" encoding="utf-8"?>
<queryTable xmlns="http://schemas.openxmlformats.org/spreadsheetml/2006/main" name="(Default) XLS_TAB_27_3" headers="0" backgroundRefresh="0" growShrinkType="overwriteClear" adjustColumnWidth="0" connectionId="42"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9.xml><?xml version="1.0" encoding="utf-8"?>
<queryTable xmlns="http://schemas.openxmlformats.org/spreadsheetml/2006/main" name="(Default) XLS_TAB_30_2" headers="0" backgroundRefresh="0" growShrinkType="overwriteClear" adjustColumnWidth="0" connectionId="49" autoFormatId="16" applyNumberFormats="0" applyBorderFormats="0" applyFontFormats="0" applyPatternFormats="0" applyAlignmentFormats="0" applyWidthHeightFormats="0">
  <queryTableRefresh headersInLastRefresh="0" nextId="15">
    <queryTableFields count="14">
      <queryTableField id="1" name="MARRD_PRD_HUSBD_ARB" tableColumnId="1"/>
      <queryTableField id="2" name="CAT_1_HSB_CNT" tableColumnId="2"/>
      <queryTableField id="3" name="CAT_1_WFE_CNT" tableColumnId="3"/>
      <queryTableField id="4" name="CAT_2_HSB_CNT" tableColumnId="4"/>
      <queryTableField id="5" name="CAT_2_WFE_CNT" tableColumnId="5"/>
      <queryTableField id="6" name="CAT_3_HSB_CNT" tableColumnId="6"/>
      <queryTableField id="7" name="CAT_3_WFE_CNT" tableColumnId="7"/>
      <queryTableField id="8" name="CAT_4_HSB_CNT" tableColumnId="8"/>
      <queryTableField id="9" name="CAT_4_WFE_CNT" tableColumnId="9"/>
      <queryTableField id="10" name="TOT_HSB_CNT" tableColumnId="10"/>
      <queryTableField id="11" name="TOT_WFE_CNT" tableColumnId="11"/>
      <queryTableField id="12" name="TOT_NOTSTAT_CNT" tableColumnId="12"/>
      <queryTableField id="13" name="G_TOTAL" tableColumnId="13"/>
      <queryTableField id="14" name="MARRD_PRD_HUSBD_ENG" tableColumnId="14"/>
    </queryTableFields>
  </queryTableRefresh>
</queryTable>
</file>

<file path=xl/queryTables/queryTable5.xml><?xml version="1.0" encoding="utf-8"?>
<queryTable xmlns="http://schemas.openxmlformats.org/spreadsheetml/2006/main" name="(Default) XLS_TAB_7" headers="0" backgroundRefresh="0" growShrinkType="overwriteClear" adjustColumnWidth="0" connectionId="85" autoFormatId="16" applyNumberFormats="0" applyBorderFormats="0" applyFontFormats="0" applyPatternFormats="0" applyAlignmentFormats="0" applyWidthHeightFormats="0">
  <queryTableRefresh headersInLastRefresh="0" nextId="7">
    <queryTableFields count="6">
      <queryTableField id="1" name="M_QTRI_COUNT" tableColumnId="1"/>
      <queryTableField id="2" name="M_NQTRI_COUNT" tableColumnId="2"/>
      <queryTableField id="3" name="M_QTRI_TOT_COUNT" tableColumnId="3"/>
      <queryTableField id="4" name="W_QTRI_COUNT" tableColumnId="4"/>
      <queryTableField id="5" name="W_NQTRI_COUNT" tableColumnId="5"/>
      <queryTableField id="6" name="W_QTRI_TOT_COUNT" tableColumnId="6"/>
    </queryTableFields>
  </queryTableRefresh>
</queryTable>
</file>

<file path=xl/queryTables/queryTable50.xml><?xml version="1.0" encoding="utf-8"?>
<queryTable xmlns="http://schemas.openxmlformats.org/spreadsheetml/2006/main" name="(Default) XLS_TAB_28_1" headers="0" backgroundRefresh="0" growShrinkType="overwriteClear" adjustColumnWidth="0" connectionId="43"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51.xml><?xml version="1.0" encoding="utf-8"?>
<queryTable xmlns="http://schemas.openxmlformats.org/spreadsheetml/2006/main" name="(Default) XLS_TAB_28_1" headers="0" backgroundRefresh="0" growShrinkType="overwriteClear" adjustColumnWidth="0" connectionId="44"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52.xml><?xml version="1.0" encoding="utf-8"?>
<queryTable xmlns="http://schemas.openxmlformats.org/spreadsheetml/2006/main" name="(Default) XLS_TAB_28_3" headers="0" backgroundRefresh="0" growShrinkType="overwriteClear" adjustColumnWidth="0" connectionId="45"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53.xml><?xml version="1.0" encoding="utf-8"?>
<queryTable xmlns="http://schemas.openxmlformats.org/spreadsheetml/2006/main" name="(Default) XLS_TAB_29_1" headers="0" backgroundRefresh="0" growShrinkType="overwriteClear" adjustColumnWidth="0" connectionId="46"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4.xml><?xml version="1.0" encoding="utf-8"?>
<queryTable xmlns="http://schemas.openxmlformats.org/spreadsheetml/2006/main" name="(Default) XLS_TAB_29_2" headers="0" backgroundRefresh="0" growShrinkType="overwriteClear" adjustColumnWidth="0" connectionId="47"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5.xml><?xml version="1.0" encoding="utf-8"?>
<queryTable xmlns="http://schemas.openxmlformats.org/spreadsheetml/2006/main" name="(Default) XLS_TAB_29_3" headers="0" backgroundRefresh="0" growShrinkType="overwriteClear" adjustColumnWidth="0" connectionId="48"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6.xml><?xml version="1.0" encoding="utf-8"?>
<queryTable xmlns="http://schemas.openxmlformats.org/spreadsheetml/2006/main" name="(Default) XLS_TAB_30_3" headers="0" backgroundRefresh="0" growShrinkType="overwriteClear" adjustColumnWidth="0" connectionId="52"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7.xml><?xml version="1.0" encoding="utf-8"?>
<queryTable xmlns="http://schemas.openxmlformats.org/spreadsheetml/2006/main" name="(Default) XLS_TAB_30_3" headers="0" backgroundRefresh="0" growShrinkType="overwriteClear" adjustColumnWidth="0" connectionId="51"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8.xml><?xml version="1.0" encoding="utf-8"?>
<queryTable xmlns="http://schemas.openxmlformats.org/spreadsheetml/2006/main" name="(Default) XLS_TAB_30_3" headers="0" backgroundRefresh="0" growShrinkType="overwriteClear" adjustColumnWidth="0" connectionId="50"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9.xml><?xml version="1.0" encoding="utf-8"?>
<queryTable xmlns="http://schemas.openxmlformats.org/spreadsheetml/2006/main" name="(Default) XLS_TAB_31_1" headers="0" backgroundRefresh="0" growShrinkType="overwriteClear" adjustColumnWidth="0" connectionId="53" autoFormatId="16" applyNumberFormats="0" applyBorderFormats="0" applyFontFormats="0" applyPatternFormats="0" applyAlignmentFormats="0" applyWidthHeightFormats="0">
  <queryTableRefresh headersInLastRefresh="0" nextId="15">
    <queryTableFields count="14">
      <queryTableField id="1" name="AGE_LEVEL_ARB" tableColumnId="1"/>
      <queryTableField id="2" name="CNT_BELOW_20" tableColumnId="2"/>
      <queryTableField id="3" name="CNT_20_24" tableColumnId="3"/>
      <queryTableField id="4" name="CNT_25_29" tableColumnId="4"/>
      <queryTableField id="5" name="CNT_30_34" tableColumnId="5"/>
      <queryTableField id="6" name="CNT_35_39" tableColumnId="6"/>
      <queryTableField id="7" name="CNT_40_44" tableColumnId="7"/>
      <queryTableField id="8" name="CNT_45_49" tableColumnId="8"/>
      <queryTableField id="9" name="CNT_50_54" tableColumnId="9"/>
      <queryTableField id="10" name="CNT_55_59" tableColumnId="10"/>
      <queryTableField id="11" name="CNT_UP_60" tableColumnId="11"/>
      <queryTableField id="12" name="NOT_STATED" tableColumnId="12"/>
      <queryTableField id="13" name="TOTAL" tableColumnId="13"/>
      <queryTableField id="14" name="AGE_LEVEL_ENG" tableColumnId="14"/>
    </queryTableFields>
  </queryTableRefresh>
</queryTable>
</file>

<file path=xl/queryTables/queryTable6.xml><?xml version="1.0" encoding="utf-8"?>
<queryTable xmlns="http://schemas.openxmlformats.org/spreadsheetml/2006/main" name="(Default) XLS_TAB_8" headers="0" backgroundRefresh="0" growShrinkType="overwriteClear" adjustColumnWidth="0" connectionId="86" autoFormatId="16" applyNumberFormats="0" applyBorderFormats="0" applyFontFormats="0" applyPatternFormats="0" applyAlignmentFormats="0" applyWidthHeightFormats="0">
  <queryTableRefresh headersInLastRefresh="0" nextId="9">
    <queryTableFields count="7">
      <queryTableField id="1" name="QATAR" tableColumnId="1"/>
      <queryTableField id="2" name="OTHER_G_C_C_COUNTRIES" tableColumnId="2"/>
      <queryTableField id="3" name="OTHER_ARAB_COUNTRIES" tableColumnId="3"/>
      <queryTableField id="4" name="ASIAN_COUNTRIES" tableColumnId="4"/>
      <queryTableField id="5" name="EUROPEAN_COUNTRIES" tableColumnId="5"/>
      <queryTableField id="6" name="OTHER_COUNTRIES" tableColumnId="6"/>
      <queryTableField id="7" name="TOTAL" tableColumnId="7"/>
    </queryTableFields>
    <queryTableDeletedFields count="1">
      <deletedField name="ROW_ORDER"/>
    </queryTableDeletedFields>
  </queryTableRefresh>
</queryTable>
</file>

<file path=xl/queryTables/queryTable60.xml><?xml version="1.0" encoding="utf-8"?>
<queryTable xmlns="http://schemas.openxmlformats.org/spreadsheetml/2006/main" name="(Default) XLS_TAB_31_2" headers="0" backgroundRefresh="0" growShrinkType="overwriteClear" adjustColumnWidth="0" connectionId="54" autoFormatId="16" applyNumberFormats="0" applyBorderFormats="0" applyFontFormats="0" applyPatternFormats="0" applyAlignmentFormats="0" applyWidthHeightFormats="0">
  <queryTableRefresh headersInLastRefresh="0" nextId="15">
    <queryTableFields count="14">
      <queryTableField id="1" name="AGE_LEVEL_ARB" tableColumnId="1"/>
      <queryTableField id="2" name="CNT_BELOW_20" tableColumnId="2"/>
      <queryTableField id="3" name="CNT_20_24" tableColumnId="3"/>
      <queryTableField id="4" name="CNT_25_29" tableColumnId="4"/>
      <queryTableField id="5" name="CNT_30_34" tableColumnId="5"/>
      <queryTableField id="6" name="CNT_35_39" tableColumnId="6"/>
      <queryTableField id="7" name="CNT_40_44" tableColumnId="7"/>
      <queryTableField id="8" name="CNT_45_49" tableColumnId="8"/>
      <queryTableField id="9" name="CNT_50_54" tableColumnId="9"/>
      <queryTableField id="10" name="CNT_55_59" tableColumnId="10"/>
      <queryTableField id="11" name="CNT_UP_60" tableColumnId="11"/>
      <queryTableField id="12" name="NOT_STATED" tableColumnId="12"/>
      <queryTableField id="13" name="TOTAL" tableColumnId="13"/>
      <queryTableField id="14" name="AGE_LEVEL_ENG" tableColumnId="14"/>
    </queryTableFields>
  </queryTableRefresh>
</queryTable>
</file>

<file path=xl/queryTables/queryTable61.xml><?xml version="1.0" encoding="utf-8"?>
<queryTable xmlns="http://schemas.openxmlformats.org/spreadsheetml/2006/main" name="(Default) XLS_TAB_31_3" headers="0" backgroundRefresh="0" growShrinkType="overwriteClear" adjustColumnWidth="0" connectionId="55" autoFormatId="16" applyNumberFormats="0" applyBorderFormats="0" applyFontFormats="0" applyPatternFormats="0" applyAlignmentFormats="0" applyWidthHeightFormats="0">
  <queryTableRefresh headersInLastRefresh="0" nextId="15">
    <queryTableFields count="14">
      <queryTableField id="1" name="AGE_LEVEL_ARB" tableColumnId="1"/>
      <queryTableField id="2" name="CNT_BELOW_20" tableColumnId="2"/>
      <queryTableField id="3" name="CNT_20_24" tableColumnId="3"/>
      <queryTableField id="4" name="CNT_25_29" tableColumnId="4"/>
      <queryTableField id="5" name="CNT_30_34" tableColumnId="5"/>
      <queryTableField id="6" name="CNT_35_39" tableColumnId="6"/>
      <queryTableField id="7" name="CNT_40_44" tableColumnId="7"/>
      <queryTableField id="8" name="CNT_45_49" tableColumnId="8"/>
      <queryTableField id="9" name="CNT_50_54" tableColumnId="9"/>
      <queryTableField id="10" name="CNT_55_59" tableColumnId="10"/>
      <queryTableField id="11" name="CNT_UP_60" tableColumnId="11"/>
      <queryTableField id="12" name="NOT_STATED" tableColumnId="12"/>
      <queryTableField id="13" name="TOTAL" tableColumnId="13"/>
      <queryTableField id="14" name="AGE_LEVEL_ENG" tableColumnId="14"/>
    </queryTableFields>
  </queryTableRefresh>
</queryTable>
</file>

<file path=xl/queryTables/queryTable62.xml><?xml version="1.0" encoding="utf-8"?>
<queryTable xmlns="http://schemas.openxmlformats.org/spreadsheetml/2006/main" name="(Default) XLS_TAB_32" headers="0" backgroundRefresh="0" growShrinkType="overwriteClear" adjustColumnWidth="0" connectionId="56" autoFormatId="16" applyNumberFormats="0" applyBorderFormats="0" applyFontFormats="0" applyPatternFormats="0" applyAlignmentFormats="0" applyWidthHeightFormats="0">
  <queryTableRefresh headersInLastRefresh="0" nextId="18">
    <queryTableFields count="17">
      <queryTableField id="1" name="AREA_ARB" tableColumnId="1"/>
      <queryTableField id="2" name="CNT_BELOW_20" tableColumnId="2"/>
      <queryTableField id="3" name="CNT_20_24" tableColumnId="3"/>
      <queryTableField id="4" name="CNT_25_29" tableColumnId="4"/>
      <queryTableField id="5" name="CNT_30_34" tableColumnId="5"/>
      <queryTableField id="6" name="CNT_35_39" tableColumnId="6"/>
      <queryTableField id="7" name="CNT_40_44" tableColumnId="7"/>
      <queryTableField id="8" name="CNT_45_49" tableColumnId="8"/>
      <queryTableField id="9" name="CNT_50_54" tableColumnId="9"/>
      <queryTableField id="10" name="CNT_55_59" tableColumnId="10"/>
      <queryTableField id="11" name="CNT_60_64" tableColumnId="11"/>
      <queryTableField id="12" name="CNT_65_69" tableColumnId="12"/>
      <queryTableField id="13" name="CNT_70_74" tableColumnId="13"/>
      <queryTableField id="14" name="CNT_UP_75" tableColumnId="14"/>
      <queryTableField id="15" name="NOT_STATED" tableColumnId="15"/>
      <queryTableField id="16" name="TOTAL" tableColumnId="16"/>
      <queryTableField id="17" name="AREA_ENG" tableColumnId="17"/>
    </queryTableFields>
  </queryTableRefresh>
</queryTable>
</file>

<file path=xl/queryTables/queryTable63.xml><?xml version="1.0" encoding="utf-8"?>
<queryTable xmlns="http://schemas.openxmlformats.org/spreadsheetml/2006/main" name="(Default) XLS_TAB_33" headers="0" backgroundRefresh="0" growShrinkType="overwriteClear" adjustColumnWidth="0" connectionId="57" autoFormatId="16" applyNumberFormats="0" applyBorderFormats="0" applyFontFormats="0" applyPatternFormats="0" applyAlignmentFormats="0" applyWidthHeightFormats="0">
  <queryTableRefresh headersInLastRefresh="0" nextId="15">
    <queryTableFields count="14">
      <queryTableField id="1" name="AREA_ARB" tableColumnId="1"/>
      <queryTableField id="2" name="CNT_BELOW_20" tableColumnId="2"/>
      <queryTableField id="3" name="CNT_20_24" tableColumnId="3"/>
      <queryTableField id="4" name="CNT_25_29" tableColumnId="4"/>
      <queryTableField id="5" name="CNT_30_34" tableColumnId="5"/>
      <queryTableField id="6" name="CNT_35_39" tableColumnId="6"/>
      <queryTableField id="7" name="CNT_40_44" tableColumnId="7"/>
      <queryTableField id="8" name="CNT_45_49" tableColumnId="8"/>
      <queryTableField id="9" name="CNT_50_54" tableColumnId="9"/>
      <queryTableField id="10" name="CNT_55_59" tableColumnId="10"/>
      <queryTableField id="11" name="CNT_UP_60" tableColumnId="11"/>
      <queryTableField id="12" name="NOT_STATED" tableColumnId="12"/>
      <queryTableField id="13" name="TOTAL" tableColumnId="13"/>
      <queryTableField id="14" name="AREA_ENG" tableColumnId="14"/>
    </queryTableFields>
  </queryTableRefresh>
</queryTable>
</file>

<file path=xl/queryTables/queryTable64.xml><?xml version="1.0" encoding="utf-8"?>
<queryTable xmlns="http://schemas.openxmlformats.org/spreadsheetml/2006/main" name="(Default) XLS_TAB_34" headers="0" backgroundRefresh="0" growShrinkType="overwriteClear" adjustColumnWidth="0" connectionId="58" autoFormatId="16" applyNumberFormats="0" applyBorderFormats="0" applyFontFormats="0" applyPatternFormats="0" applyAlignmentFormats="0" applyWidthHeightFormats="0">
  <queryTableRefresh headersInLastRefresh="0" nextId="8">
    <queryTableFields count="7">
      <queryTableField id="1" name="QATAR" tableColumnId="1"/>
      <queryTableField id="2" name="OTHER_G_C_C_COUNTRIES" tableColumnId="2"/>
      <queryTableField id="3" name="OTHER_ARAB_COUNTRIES" tableColumnId="3"/>
      <queryTableField id="4" name="ASIAN_COUNTRIES" tableColumnId="4"/>
      <queryTableField id="5" name="EUROPEAN_COUNTRIES" tableColumnId="5"/>
      <queryTableField id="6" name="OTHER_COUNTRIES" tableColumnId="6"/>
      <queryTableField id="7" name="TOTAL" tableColumnId="7"/>
    </queryTableFields>
  </queryTableRefresh>
</queryTable>
</file>

<file path=xl/queryTables/queryTable65.xml><?xml version="1.0" encoding="utf-8"?>
<queryTable xmlns="http://schemas.openxmlformats.org/spreadsheetml/2006/main" name="(Default) XLS_TAB_35" headers="0" backgroundRefresh="0" growShrinkType="overwriteClear" adjustColumnWidth="0" connectionId="59" autoFormatId="16" applyNumberFormats="0" applyBorderFormats="0" applyFontFormats="0" applyPatternFormats="0" applyAlignmentFormats="0" applyWidthHeightFormats="0">
  <queryTableRefresh headersInLastRefresh="0" nextId="15">
    <queryTableFields count="14">
      <queryTableField id="1" name="AGE_LEVEL_ARB" tableColumnId="1"/>
      <queryTableField id="2" name="Q_NONE_CNT" tableColumnId="2"/>
      <queryTableField id="3" name="Q_1_CNT" tableColumnId="3"/>
      <queryTableField id="4" name="Q_2_CNT" tableColumnId="4"/>
      <queryTableField id="5" name="Q_4_CNT" tableColumnId="5"/>
      <queryTableField id="6" name="Q_NOT_STATED" tableColumnId="6"/>
      <queryTableField id="7" name="Q_TOT_CNT" tableColumnId="7"/>
      <queryTableField id="8" name="NQ_NONE_CNT" tableColumnId="8"/>
      <queryTableField id="9" name="NQ_1_CNT" tableColumnId="9"/>
      <queryTableField id="10" name="NQ_2_CNT" tableColumnId="10"/>
      <queryTableField id="11" name="NQ_4_CNT" tableColumnId="11"/>
      <queryTableField id="12" name="NQ_NOT_STATED" tableColumnId="12"/>
      <queryTableField id="13" name="NQ_TOT_CNT" tableColumnId="13"/>
      <queryTableField id="14" name="AGE_LEVEL_ENG" tableColumnId="14"/>
    </queryTableFields>
  </queryTableRefresh>
</queryTable>
</file>

<file path=xl/queryTables/queryTable66.xml><?xml version="1.0" encoding="utf-8"?>
<queryTable xmlns="http://schemas.openxmlformats.org/spreadsheetml/2006/main" name="(Default) XLS_TAB_36_1" headers="0" backgroundRefresh="0" growShrinkType="overwriteClear" adjustColumnWidth="0" connectionId="60"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7.xml><?xml version="1.0" encoding="utf-8"?>
<queryTable xmlns="http://schemas.openxmlformats.org/spreadsheetml/2006/main" name="(Default) XLS_TAB_36_2" headers="0" backgroundRefresh="0" growShrinkType="overwriteClear" adjustColumnWidth="0" connectionId="61"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8.xml><?xml version="1.0" encoding="utf-8"?>
<queryTable xmlns="http://schemas.openxmlformats.org/spreadsheetml/2006/main" name="(Default) XLS_TAB_36_3" headers="0" backgroundRefresh="0" growShrinkType="overwriteClear" adjustColumnWidth="0" connectionId="62"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9.xml><?xml version="1.0" encoding="utf-8"?>
<queryTable xmlns="http://schemas.openxmlformats.org/spreadsheetml/2006/main" name="(Default) XLS_TAB_37_1" headers="0" backgroundRefresh="0" growShrinkType="overwriteClear" adjustColumnWidth="0" connectionId="63"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7.xml><?xml version="1.0" encoding="utf-8"?>
<queryTable xmlns="http://schemas.openxmlformats.org/spreadsheetml/2006/main" name="(Default) XLS_TAB_9" headers="0" backgroundRefresh="0" growShrinkType="overwriteClear" adjustColumnWidth="0" connectionId="87" autoFormatId="16" applyNumberFormats="0" applyBorderFormats="0" applyFontFormats="0" applyPatternFormats="0" applyAlignmentFormats="0" applyWidthHeightFormats="0">
  <queryTableRefresh headersInLastRefresh="0" nextId="18">
    <queryTableFields count="17">
      <queryTableField id="1" name="NAT_DESC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60_64" tableColumnId="11"/>
      <queryTableField id="12" name="AGE_LEVEL_65_70" tableColumnId="12"/>
      <queryTableField id="13" name="AGE_LEVEL_70_74" tableColumnId="13"/>
      <queryTableField id="14" name="AGE_LEVEL_75" tableColumnId="14"/>
      <queryTableField id="15" name="AGE_LEVEL_NOT_STATED" tableColumnId="15"/>
      <queryTableField id="16" name="TOTAL" tableColumnId="16"/>
      <queryTableField id="17" name="NAT_DESC_ENG" tableColumnId="17"/>
    </queryTableFields>
  </queryTableRefresh>
</queryTable>
</file>

<file path=xl/queryTables/queryTable70.xml><?xml version="1.0" encoding="utf-8"?>
<queryTable xmlns="http://schemas.openxmlformats.org/spreadsheetml/2006/main" name="(Default) XLS_TAB_37_2" headers="0" backgroundRefresh="0" growShrinkType="overwriteClear" adjustColumnWidth="0" connectionId="64"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71.xml><?xml version="1.0" encoding="utf-8"?>
<queryTable xmlns="http://schemas.openxmlformats.org/spreadsheetml/2006/main" name="(Default) XLS_TAB_37_3" headers="0" backgroundRefresh="0" growShrinkType="overwriteClear" adjustColumnWidth="0" connectionId="65"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72.xml><?xml version="1.0" encoding="utf-8"?>
<queryTable xmlns="http://schemas.openxmlformats.org/spreadsheetml/2006/main" name="(Default) XLS_TAB_38_1" headers="0" backgroundRefresh="0" growShrinkType="overwriteClear" adjustColumnWidth="0" connectionId="66"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73.xml><?xml version="1.0" encoding="utf-8"?>
<queryTable xmlns="http://schemas.openxmlformats.org/spreadsheetml/2006/main" name="(Default) XLS_TAB_38_2" headers="0" backgroundRefresh="0" growShrinkType="overwriteClear" adjustColumnWidth="0" connectionId="67"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74.xml><?xml version="1.0" encoding="utf-8"?>
<queryTable xmlns="http://schemas.openxmlformats.org/spreadsheetml/2006/main" name="(Default) XLS_TAB_38_3" headers="0" backgroundRefresh="0" growShrinkType="overwriteClear" adjustColumnWidth="0" connectionId="68"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75.xml><?xml version="1.0" encoding="utf-8"?>
<queryTable xmlns="http://schemas.openxmlformats.org/spreadsheetml/2006/main" name="(Default) XLS_TAB_39_1" headers="0" backgroundRefresh="0" growShrinkType="overwriteClear" adjustColumnWidth="0" connectionId="69"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76.xml><?xml version="1.0" encoding="utf-8"?>
<queryTable xmlns="http://schemas.openxmlformats.org/spreadsheetml/2006/main" name="(Default) XLS_TAB_39_2" headers="0" backgroundRefresh="0" growShrinkType="overwriteClear" adjustColumnWidth="0" connectionId="70"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77.xml><?xml version="1.0" encoding="utf-8"?>
<queryTable xmlns="http://schemas.openxmlformats.org/spreadsheetml/2006/main" name="(Default) XLS_TAB_39_3" headers="0" backgroundRefresh="0" growShrinkType="overwriteClear" adjustColumnWidth="0" connectionId="71"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78.xml><?xml version="1.0" encoding="utf-8"?>
<queryTable xmlns="http://schemas.openxmlformats.org/spreadsheetml/2006/main" name="(Default) XLS_TAB_40_1" headers="0" backgroundRefresh="0" growShrinkType="overwriteClear" adjustColumnWidth="0" connectionId="72" autoFormatId="16" applyNumberFormats="0" applyBorderFormats="0" applyFontFormats="0" applyPatternFormats="0" applyAlignmentFormats="0" applyWidthHeightFormats="0">
  <queryTableRefresh headersInLastRefresh="0" nextId="13">
    <queryTableFields count="12">
      <queryTableField id="1" name="AGE_LEVEL_LESS_20" tableColumnId="1"/>
      <queryTableField id="2" name="AGE_LEVEL_20_24" tableColumnId="2"/>
      <queryTableField id="3" name="AGE_LEVEL_25_29" tableColumnId="3"/>
      <queryTableField id="4" name="AGE_LEVEL_30_34" tableColumnId="4"/>
      <queryTableField id="5" name="AGE_LEVEL_35_39" tableColumnId="5"/>
      <queryTableField id="6" name="AGE_LEVEL_40_44" tableColumnId="6"/>
      <queryTableField id="7" name="AGE_LEVEL_45_49" tableColumnId="7"/>
      <queryTableField id="8" name="AGE_LEVEL_50_54" tableColumnId="8"/>
      <queryTableField id="9" name="AGE_LEVEL_55_59" tableColumnId="9"/>
      <queryTableField id="10" name="AGE_LEVEL_UP_60" tableColumnId="10"/>
      <queryTableField id="11" name="AGE_LEVEL_NOT_STATED" tableColumnId="11"/>
      <queryTableField id="12" name="TOTAL" tableColumnId="12"/>
    </queryTableFields>
  </queryTableRefresh>
</queryTable>
</file>

<file path=xl/queryTables/queryTable79.xml><?xml version="1.0" encoding="utf-8"?>
<queryTable xmlns="http://schemas.openxmlformats.org/spreadsheetml/2006/main" name="(Default) XLS_TAB_40_2" headers="0" backgroundRefresh="0" growShrinkType="overwriteClear" adjustColumnWidth="0" connectionId="73" autoFormatId="16" applyNumberFormats="0" applyBorderFormats="0" applyFontFormats="0" applyPatternFormats="0" applyAlignmentFormats="0" applyWidthHeightFormats="0">
  <queryTableRefresh headersInLastRefresh="0" nextId="13">
    <queryTableFields count="12">
      <queryTableField id="1" name="AGE_LEVEL_LESS_20" tableColumnId="1"/>
      <queryTableField id="2" name="AGE_LEVEL_20_24" tableColumnId="2"/>
      <queryTableField id="3" name="AGE_LEVEL_25_29" tableColumnId="3"/>
      <queryTableField id="4" name="AGE_LEVEL_30_34" tableColumnId="4"/>
      <queryTableField id="5" name="AGE_LEVEL_35_39" tableColumnId="5"/>
      <queryTableField id="6" name="AGE_LEVEL_40_44" tableColumnId="6"/>
      <queryTableField id="7" name="AGE_LEVEL_45_49" tableColumnId="7"/>
      <queryTableField id="8" name="AGE_LEVEL_50_54" tableColumnId="8"/>
      <queryTableField id="9" name="AGE_LEVEL_55_59" tableColumnId="9"/>
      <queryTableField id="10" name="AGE_LEVEL_UP_60" tableColumnId="10"/>
      <queryTableField id="11" name="AGE_LEVEL_NOT_STATED" tableColumnId="11"/>
      <queryTableField id="12" name="TOTAL" tableColumnId="12"/>
    </queryTableFields>
  </queryTableRefresh>
</queryTable>
</file>

<file path=xl/queryTables/queryTable8.xml><?xml version="1.0" encoding="utf-8"?>
<queryTable xmlns="http://schemas.openxmlformats.org/spreadsheetml/2006/main" name="(Default) XLS_TAB_10" headers="0" backgroundRefresh="0" growShrinkType="overwriteClear" adjustColumnWidth="0" connectionId="2" autoFormatId="16" applyNumberFormats="0" applyBorderFormats="0" applyFontFormats="0" applyPatternFormats="0" applyAlignmentFormats="0" applyWidthHeightFormats="0">
  <queryTableRefresh headersInLastRefresh="0" nextId="15">
    <queryTableFields count="14">
      <queryTableField id="1" name="NAT_DESC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NAT_DESC_ENG" tableColumnId="14"/>
    </queryTableFields>
  </queryTableRefresh>
</queryTable>
</file>

<file path=xl/queryTables/queryTable80.xml><?xml version="1.0" encoding="utf-8"?>
<queryTable xmlns="http://schemas.openxmlformats.org/spreadsheetml/2006/main" name="(Default) XLS_TAB_40_3" headers="0" backgroundRefresh="0" growShrinkType="overwriteClear" adjustColumnWidth="0" connectionId="74" autoFormatId="16" applyNumberFormats="0" applyBorderFormats="0" applyFontFormats="0" applyPatternFormats="0" applyAlignmentFormats="0" applyWidthHeightFormats="0">
  <queryTableRefresh headersInLastRefresh="0" nextId="13">
    <queryTableFields count="12">
      <queryTableField id="1" name="AGE_LEVEL_LESS_20" tableColumnId="1"/>
      <queryTableField id="2" name="AGE_LEVEL_20_24" tableColumnId="2"/>
      <queryTableField id="3" name="AGE_LEVEL_25_29" tableColumnId="3"/>
      <queryTableField id="4" name="AGE_LEVEL_30_34" tableColumnId="4"/>
      <queryTableField id="5" name="AGE_LEVEL_35_39" tableColumnId="5"/>
      <queryTableField id="6" name="AGE_LEVEL_40_44" tableColumnId="6"/>
      <queryTableField id="7" name="AGE_LEVEL_45_49" tableColumnId="7"/>
      <queryTableField id="8" name="AGE_LEVEL_50_54" tableColumnId="8"/>
      <queryTableField id="9" name="AGE_LEVEL_55_59" tableColumnId="9"/>
      <queryTableField id="10" name="AGE_LEVEL_UP_60" tableColumnId="10"/>
      <queryTableField id="11" name="AGE_LEVEL_NOT_STATED" tableColumnId="11"/>
      <queryTableField id="12" name="TOTAL" tableColumnId="12"/>
    </queryTableFields>
  </queryTableRefresh>
</queryTable>
</file>

<file path=xl/queryTables/queryTable81.xml><?xml version="1.0" encoding="utf-8"?>
<queryTable xmlns="http://schemas.openxmlformats.org/spreadsheetml/2006/main" name="(Default) XLS_TAB_41_1" headers="0" backgroundRefresh="0" growShrinkType="overwriteClear" adjustColumnWidth="0" connectionId="75" autoFormatId="16" applyNumberFormats="0" applyBorderFormats="0" applyFontFormats="0" applyPatternFormats="0" applyAlignmentFormats="0" applyWidthHeightFormats="0">
  <queryTableRefresh headersInLastRefresh="0" nextId="10">
    <queryTableFields count="9">
      <queryTableField id="1" name="SON_CNT_0" tableColumnId="1"/>
      <queryTableField id="2" name="SON_CNT_1" tableColumnId="2"/>
      <queryTableField id="3" name="SON_CNT_2" tableColumnId="3"/>
      <queryTableField id="4" name="SON_CNT_3" tableColumnId="4"/>
      <queryTableField id="5" name="SON_CNT_4" tableColumnId="5"/>
      <queryTableField id="6" name="SON_CNT_5" tableColumnId="6"/>
      <queryTableField id="7" name="SON_CNT_UP_6" tableColumnId="7"/>
      <queryTableField id="8" name="SON_CNT_NOT_STATED" tableColumnId="8"/>
      <queryTableField id="9" name="TOTAL" tableColumnId="9"/>
    </queryTableFields>
  </queryTableRefresh>
</queryTable>
</file>

<file path=xl/queryTables/queryTable82.xml><?xml version="1.0" encoding="utf-8"?>
<queryTable xmlns="http://schemas.openxmlformats.org/spreadsheetml/2006/main" name="(Default) XLS_TAB_41_2" headers="0" backgroundRefresh="0" growShrinkType="overwriteClear" adjustColumnWidth="0" connectionId="76" autoFormatId="16" applyNumberFormats="0" applyBorderFormats="0" applyFontFormats="0" applyPatternFormats="0" applyAlignmentFormats="0" applyWidthHeightFormats="0">
  <queryTableRefresh headersInLastRefresh="0" nextId="10">
    <queryTableFields count="9">
      <queryTableField id="1" name="SON_CNT_0" tableColumnId="1"/>
      <queryTableField id="2" name="SON_CNT_1" tableColumnId="2"/>
      <queryTableField id="3" name="SON_CNT_2" tableColumnId="3"/>
      <queryTableField id="4" name="SON_CNT_3" tableColumnId="4"/>
      <queryTableField id="5" name="SON_CNT_4" tableColumnId="5"/>
      <queryTableField id="6" name="SON_CNT_5" tableColumnId="6"/>
      <queryTableField id="7" name="SON_CNT_UP_6" tableColumnId="7"/>
      <queryTableField id="8" name="SON_CNT_NOT_STATED" tableColumnId="8"/>
      <queryTableField id="9" name="TOTAL" tableColumnId="9"/>
    </queryTableFields>
  </queryTableRefresh>
</queryTable>
</file>

<file path=xl/queryTables/queryTable83.xml><?xml version="1.0" encoding="utf-8"?>
<queryTable xmlns="http://schemas.openxmlformats.org/spreadsheetml/2006/main" name="(Default) XLS_TAB_41_3" headers="0" backgroundRefresh="0" growShrinkType="overwriteClear" adjustColumnWidth="0" connectionId="77" autoFormatId="16" applyNumberFormats="0" applyBorderFormats="0" applyFontFormats="0" applyPatternFormats="0" applyAlignmentFormats="0" applyWidthHeightFormats="0">
  <queryTableRefresh headersInLastRefresh="0" nextId="10">
    <queryTableFields count="9">
      <queryTableField id="1" name="SON_CNT_0" tableColumnId="1"/>
      <queryTableField id="2" name="SON_CNT_1" tableColumnId="2"/>
      <queryTableField id="3" name="SON_CNT_2" tableColumnId="3"/>
      <queryTableField id="4" name="SON_CNT_3" tableColumnId="4"/>
      <queryTableField id="5" name="SON_CNT_4" tableColumnId="5"/>
      <queryTableField id="6" name="SON_CNT_5" tableColumnId="6"/>
      <queryTableField id="7" name="SON_CNT_UP_6" tableColumnId="7"/>
      <queryTableField id="8" name="SON_CNT_NOT_STATED" tableColumnId="8"/>
      <queryTableField id="9" name="TOTAL" tableColumnId="9"/>
    </queryTableFields>
  </queryTableRefresh>
</queryTable>
</file>

<file path=xl/queryTables/queryTable84.xml><?xml version="1.0" encoding="utf-8"?>
<queryTable xmlns="http://schemas.openxmlformats.org/spreadsheetml/2006/main" name="(Default) XLS_TAB_42" headers="0" backgroundRefresh="0" growShrinkType="overwriteClear" adjustColumnWidth="0" connectionId="78" autoFormatId="16" applyNumberFormats="0" applyBorderFormats="0" applyFontFormats="0" applyPatternFormats="0" applyAlignmentFormats="0" applyWidthHeightFormats="0">
  <queryTableRefresh headersInLastRefresh="0" nextId="13">
    <queryTableFields count="8">
      <queryTableField id="1" name="CNT_0" tableColumnId="1"/>
      <queryTableField id="2" name="CNT_1" tableColumnId="2"/>
      <queryTableField id="3" name="CNT_2" tableColumnId="3"/>
      <queryTableField id="4" name="CNT_3" tableColumnId="4"/>
      <queryTableField id="5" name="CNT_4" tableColumnId="5"/>
      <queryTableField id="6" name="CNT_5" tableColumnId="6"/>
      <queryTableField id="7" name="CNT_6" tableColumnId="7"/>
      <queryTableField id="8" name="NOT_STATED" tableColumnId="8"/>
    </queryTableFields>
    <queryTableDeletedFields count="1">
      <deletedField name="TOTAL"/>
    </queryTableDeletedFields>
  </queryTableRefresh>
</queryTable>
</file>

<file path=xl/queryTables/queryTable85.xml><?xml version="1.0" encoding="utf-8"?>
<queryTable xmlns="http://schemas.openxmlformats.org/spreadsheetml/2006/main" name="(Default) XLS_TAB_43" headers="0" backgroundRefresh="0" growShrinkType="overwriteClear" adjustColumnWidth="0" connectionId="79" autoFormatId="16" applyNumberFormats="0" applyBorderFormats="0" applyFontFormats="0" applyPatternFormats="0" applyAlignmentFormats="0" applyWidthHeightFormats="0">
  <queryTableRefresh headersInLastRefresh="0" nextId="13">
    <queryTableFields count="12">
      <queryTableField id="1" name="MARRD_PRD_HUSBD_ARB" tableColumnId="1"/>
      <queryTableField id="2" name="CAT_1_SON_CNT" tableColumnId="2"/>
      <queryTableField id="3" name="CAT_1_CASE_CNT" tableColumnId="3"/>
      <queryTableField id="4" name="CAT_2_SON_CNT" tableColumnId="4"/>
      <queryTableField id="5" name="CAT_2_CASE_CNT" tableColumnId="5"/>
      <queryTableField id="6" name="CAT_3_SON_CNT" tableColumnId="6"/>
      <queryTableField id="7" name="CAT_3_CASE_CNT" tableColumnId="7"/>
      <queryTableField id="8" name="CAT_4_SON_CNT" tableColumnId="8"/>
      <queryTableField id="9" name="CAT_4_CASE_CNT" tableColumnId="9"/>
      <queryTableField id="10" name="CAT_TOT_SON_CNT" tableColumnId="10"/>
      <queryTableField id="11" name="CAT_TOT_CASE_CNT" tableColumnId="11"/>
      <queryTableField id="12" name="MARRD_PRD_HUSBD_ENG" tableColumnId="12"/>
    </queryTableFields>
  </queryTableRefresh>
</queryTable>
</file>

<file path=xl/queryTables/queryTable86.xml><?xml version="1.0" encoding="utf-8"?>
<queryTable xmlns="http://schemas.openxmlformats.org/spreadsheetml/2006/main" name="(Default) XLS_TAB_27_2" headers="0" backgroundRefresh="0" growShrinkType="overwriteClear" adjustColumnWidth="0" connectionId="41" autoFormatId="16" applyNumberFormats="0" applyBorderFormats="0" applyFontFormats="0" applyPatternFormats="0" applyAlignmentFormats="0" applyWidthHeightFormats="0">
  <queryTableRefresh headersInLastRefresh="0" nextId="6">
    <queryTableFields count="5">
      <queryTableField id="1" name="MARR_PRD_ARB" tableColumnId="1"/>
      <queryTableField id="2" name="QATARI_SON_CNT" tableColumnId="2"/>
      <queryTableField id="3" name="NON_QATARI_SON_CNT" tableColumnId="3"/>
      <queryTableField id="4" name="TOTAL" tableColumnId="4"/>
      <queryTableField id="5" name="MARR_PRD_ENG" tableColumnId="5"/>
    </queryTableFields>
  </queryTableRefresh>
</queryTable>
</file>

<file path=xl/queryTables/queryTable87.xml><?xml version="1.0" encoding="utf-8"?>
<queryTable xmlns="http://schemas.openxmlformats.org/spreadsheetml/2006/main" name="(Default) XLS_TAB_48" headers="0" backgroundRefresh="0" growShrinkType="overwriteClear" adjustColumnWidth="0" connectionId="80" autoFormatId="16" applyNumberFormats="0" applyBorderFormats="0" applyFontFormats="0" applyPatternFormats="0" applyAlignmentFormats="0" applyWidthHeightFormats="0">
  <queryTableRefresh headersInLastRefresh="0" nextId="6">
    <queryTableFields count="5">
      <queryTableField id="1" name="MARR_PRD_ARB" tableColumnId="1"/>
      <queryTableField id="2" name="QATARI_SON_CNT" tableColumnId="2"/>
      <queryTableField id="3" name="NON_QATARI_SON_CNT" tableColumnId="3"/>
      <queryTableField id="4" name="TOTAL" tableColumnId="4"/>
      <queryTableField id="5" name="MARR_PRD_ENG" tableColumnId="5"/>
    </queryTableFields>
  </queryTableRefresh>
</queryTable>
</file>

<file path=xl/queryTables/queryTable9.xml><?xml version="1.0" encoding="utf-8"?>
<queryTable xmlns="http://schemas.openxmlformats.org/spreadsheetml/2006/main" name="(Default) XLS_TAB_11_1" headers="0" backgroundRefresh="0" growShrinkType="overwriteClear" adjustColumnWidth="0" connectionId="3"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2.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13.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14.xml"/></Relationships>
</file>

<file path=xl/tables/_rels/table15.xml.rels><?xml version="1.0" encoding="UTF-8" standalone="yes"?>
<Relationships xmlns="http://schemas.openxmlformats.org/package/2006/relationships"><Relationship Id="rId1" Type="http://schemas.openxmlformats.org/officeDocument/2006/relationships/queryTable" Target="../queryTables/queryTable15.xml"/></Relationships>
</file>

<file path=xl/tables/_rels/table16.xml.rels><?xml version="1.0" encoding="UTF-8" standalone="yes"?>
<Relationships xmlns="http://schemas.openxmlformats.org/package/2006/relationships"><Relationship Id="rId1" Type="http://schemas.openxmlformats.org/officeDocument/2006/relationships/queryTable" Target="../queryTables/queryTable16.xml"/></Relationships>
</file>

<file path=xl/tables/_rels/table17.xml.rels><?xml version="1.0" encoding="UTF-8" standalone="yes"?>
<Relationships xmlns="http://schemas.openxmlformats.org/package/2006/relationships"><Relationship Id="rId1" Type="http://schemas.openxmlformats.org/officeDocument/2006/relationships/queryTable" Target="../queryTables/queryTable17.xml"/></Relationships>
</file>

<file path=xl/tables/_rels/table18.xml.rels><?xml version="1.0" encoding="UTF-8" standalone="yes"?>
<Relationships xmlns="http://schemas.openxmlformats.org/package/2006/relationships"><Relationship Id="rId1" Type="http://schemas.openxmlformats.org/officeDocument/2006/relationships/queryTable" Target="../queryTables/queryTable18.xml"/></Relationships>
</file>

<file path=xl/tables/_rels/table19.xml.rels><?xml version="1.0" encoding="UTF-8" standalone="yes"?>
<Relationships xmlns="http://schemas.openxmlformats.org/package/2006/relationships"><Relationship Id="rId1" Type="http://schemas.openxmlformats.org/officeDocument/2006/relationships/queryTable" Target="../queryTables/queryTable19.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20.xml.rels><?xml version="1.0" encoding="UTF-8" standalone="yes"?>
<Relationships xmlns="http://schemas.openxmlformats.org/package/2006/relationships"><Relationship Id="rId1" Type="http://schemas.openxmlformats.org/officeDocument/2006/relationships/queryTable" Target="../queryTables/queryTable20.xml"/></Relationships>
</file>

<file path=xl/tables/_rels/table21.xml.rels><?xml version="1.0" encoding="UTF-8" standalone="yes"?>
<Relationships xmlns="http://schemas.openxmlformats.org/package/2006/relationships"><Relationship Id="rId1" Type="http://schemas.openxmlformats.org/officeDocument/2006/relationships/queryTable" Target="../queryTables/queryTable21.xml"/></Relationships>
</file>

<file path=xl/tables/_rels/table22.xml.rels><?xml version="1.0" encoding="UTF-8" standalone="yes"?>
<Relationships xmlns="http://schemas.openxmlformats.org/package/2006/relationships"><Relationship Id="rId1" Type="http://schemas.openxmlformats.org/officeDocument/2006/relationships/queryTable" Target="../queryTables/queryTable22.xml"/></Relationships>
</file>

<file path=xl/tables/_rels/table23.xml.rels><?xml version="1.0" encoding="UTF-8" standalone="yes"?>
<Relationships xmlns="http://schemas.openxmlformats.org/package/2006/relationships"><Relationship Id="rId1" Type="http://schemas.openxmlformats.org/officeDocument/2006/relationships/queryTable" Target="../queryTables/queryTable23.xml"/></Relationships>
</file>

<file path=xl/tables/_rels/table24.xml.rels><?xml version="1.0" encoding="UTF-8" standalone="yes"?>
<Relationships xmlns="http://schemas.openxmlformats.org/package/2006/relationships"><Relationship Id="rId1" Type="http://schemas.openxmlformats.org/officeDocument/2006/relationships/queryTable" Target="../queryTables/queryTable24.xml"/></Relationships>
</file>

<file path=xl/tables/_rels/table25.xml.rels><?xml version="1.0" encoding="UTF-8" standalone="yes"?>
<Relationships xmlns="http://schemas.openxmlformats.org/package/2006/relationships"><Relationship Id="rId1" Type="http://schemas.openxmlformats.org/officeDocument/2006/relationships/queryTable" Target="../queryTables/queryTable25.xml"/></Relationships>
</file>

<file path=xl/tables/_rels/table26.xml.rels><?xml version="1.0" encoding="UTF-8" standalone="yes"?>
<Relationships xmlns="http://schemas.openxmlformats.org/package/2006/relationships"><Relationship Id="rId1" Type="http://schemas.openxmlformats.org/officeDocument/2006/relationships/queryTable" Target="../queryTables/queryTable26.xml"/></Relationships>
</file>

<file path=xl/tables/_rels/table27.xml.rels><?xml version="1.0" encoding="UTF-8" standalone="yes"?>
<Relationships xmlns="http://schemas.openxmlformats.org/package/2006/relationships"><Relationship Id="rId1" Type="http://schemas.openxmlformats.org/officeDocument/2006/relationships/queryTable" Target="../queryTables/queryTable27.xml"/></Relationships>
</file>

<file path=xl/tables/_rels/table28.xml.rels><?xml version="1.0" encoding="UTF-8" standalone="yes"?>
<Relationships xmlns="http://schemas.openxmlformats.org/package/2006/relationships"><Relationship Id="rId1" Type="http://schemas.openxmlformats.org/officeDocument/2006/relationships/queryTable" Target="../queryTables/queryTable28.xml"/></Relationships>
</file>

<file path=xl/tables/_rels/table29.xml.rels><?xml version="1.0" encoding="UTF-8" standalone="yes"?>
<Relationships xmlns="http://schemas.openxmlformats.org/package/2006/relationships"><Relationship Id="rId1" Type="http://schemas.openxmlformats.org/officeDocument/2006/relationships/queryTable" Target="../queryTables/queryTable29.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30.xml.rels><?xml version="1.0" encoding="UTF-8" standalone="yes"?>
<Relationships xmlns="http://schemas.openxmlformats.org/package/2006/relationships"><Relationship Id="rId1" Type="http://schemas.openxmlformats.org/officeDocument/2006/relationships/queryTable" Target="../queryTables/queryTable30.xml"/></Relationships>
</file>

<file path=xl/tables/_rels/table31.xml.rels><?xml version="1.0" encoding="UTF-8" standalone="yes"?>
<Relationships xmlns="http://schemas.openxmlformats.org/package/2006/relationships"><Relationship Id="rId1" Type="http://schemas.openxmlformats.org/officeDocument/2006/relationships/queryTable" Target="../queryTables/queryTable31.xml"/></Relationships>
</file>

<file path=xl/tables/_rels/table32.xml.rels><?xml version="1.0" encoding="UTF-8" standalone="yes"?>
<Relationships xmlns="http://schemas.openxmlformats.org/package/2006/relationships"><Relationship Id="rId1" Type="http://schemas.openxmlformats.org/officeDocument/2006/relationships/queryTable" Target="../queryTables/queryTable32.xml"/></Relationships>
</file>

<file path=xl/tables/_rels/table33.xml.rels><?xml version="1.0" encoding="UTF-8" standalone="yes"?>
<Relationships xmlns="http://schemas.openxmlformats.org/package/2006/relationships"><Relationship Id="rId1" Type="http://schemas.openxmlformats.org/officeDocument/2006/relationships/queryTable" Target="../queryTables/queryTable33.xml"/></Relationships>
</file>

<file path=xl/tables/_rels/table34.xml.rels><?xml version="1.0" encoding="UTF-8" standalone="yes"?>
<Relationships xmlns="http://schemas.openxmlformats.org/package/2006/relationships"><Relationship Id="rId1" Type="http://schemas.openxmlformats.org/officeDocument/2006/relationships/queryTable" Target="../queryTables/queryTable34.xml"/></Relationships>
</file>

<file path=xl/tables/_rels/table35.xml.rels><?xml version="1.0" encoding="UTF-8" standalone="yes"?>
<Relationships xmlns="http://schemas.openxmlformats.org/package/2006/relationships"><Relationship Id="rId1" Type="http://schemas.openxmlformats.org/officeDocument/2006/relationships/queryTable" Target="../queryTables/queryTable35.xml"/></Relationships>
</file>

<file path=xl/tables/_rels/table36.xml.rels><?xml version="1.0" encoding="UTF-8" standalone="yes"?>
<Relationships xmlns="http://schemas.openxmlformats.org/package/2006/relationships"><Relationship Id="rId1" Type="http://schemas.openxmlformats.org/officeDocument/2006/relationships/queryTable" Target="../queryTables/queryTable36.xml"/></Relationships>
</file>

<file path=xl/tables/_rels/table37.xml.rels><?xml version="1.0" encoding="UTF-8" standalone="yes"?>
<Relationships xmlns="http://schemas.openxmlformats.org/package/2006/relationships"><Relationship Id="rId1" Type="http://schemas.openxmlformats.org/officeDocument/2006/relationships/queryTable" Target="../queryTables/queryTable37.xml"/></Relationships>
</file>

<file path=xl/tables/_rels/table38.xml.rels><?xml version="1.0" encoding="UTF-8" standalone="yes"?>
<Relationships xmlns="http://schemas.openxmlformats.org/package/2006/relationships"><Relationship Id="rId1" Type="http://schemas.openxmlformats.org/officeDocument/2006/relationships/queryTable" Target="../queryTables/queryTable38.xml"/></Relationships>
</file>

<file path=xl/tables/_rels/table39.xml.rels><?xml version="1.0" encoding="UTF-8" standalone="yes"?>
<Relationships xmlns="http://schemas.openxmlformats.org/package/2006/relationships"><Relationship Id="rId1" Type="http://schemas.openxmlformats.org/officeDocument/2006/relationships/queryTable" Target="../queryTables/queryTable39.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40.xml.rels><?xml version="1.0" encoding="UTF-8" standalone="yes"?>
<Relationships xmlns="http://schemas.openxmlformats.org/package/2006/relationships"><Relationship Id="rId1" Type="http://schemas.openxmlformats.org/officeDocument/2006/relationships/queryTable" Target="../queryTables/queryTable40.xml"/></Relationships>
</file>

<file path=xl/tables/_rels/table41.xml.rels><?xml version="1.0" encoding="UTF-8" standalone="yes"?>
<Relationships xmlns="http://schemas.openxmlformats.org/package/2006/relationships"><Relationship Id="rId1" Type="http://schemas.openxmlformats.org/officeDocument/2006/relationships/queryTable" Target="../queryTables/queryTable41.xml"/></Relationships>
</file>

<file path=xl/tables/_rels/table42.xml.rels><?xml version="1.0" encoding="UTF-8" standalone="yes"?>
<Relationships xmlns="http://schemas.openxmlformats.org/package/2006/relationships"><Relationship Id="rId1" Type="http://schemas.openxmlformats.org/officeDocument/2006/relationships/queryTable" Target="../queryTables/queryTable42.xml"/></Relationships>
</file>

<file path=xl/tables/_rels/table43.xml.rels><?xml version="1.0" encoding="UTF-8" standalone="yes"?>
<Relationships xmlns="http://schemas.openxmlformats.org/package/2006/relationships"><Relationship Id="rId1" Type="http://schemas.openxmlformats.org/officeDocument/2006/relationships/queryTable" Target="../queryTables/queryTable43.xml"/></Relationships>
</file>

<file path=xl/tables/_rels/table44.xml.rels><?xml version="1.0" encoding="UTF-8" standalone="yes"?>
<Relationships xmlns="http://schemas.openxmlformats.org/package/2006/relationships"><Relationship Id="rId1" Type="http://schemas.openxmlformats.org/officeDocument/2006/relationships/queryTable" Target="../queryTables/queryTable44.xml"/></Relationships>
</file>

<file path=xl/tables/_rels/table45.xml.rels><?xml version="1.0" encoding="UTF-8" standalone="yes"?>
<Relationships xmlns="http://schemas.openxmlformats.org/package/2006/relationships"><Relationship Id="rId1" Type="http://schemas.openxmlformats.org/officeDocument/2006/relationships/queryTable" Target="../queryTables/queryTable45.xml"/></Relationships>
</file>

<file path=xl/tables/_rels/table46.xml.rels><?xml version="1.0" encoding="UTF-8" standalone="yes"?>
<Relationships xmlns="http://schemas.openxmlformats.org/package/2006/relationships"><Relationship Id="rId1" Type="http://schemas.openxmlformats.org/officeDocument/2006/relationships/queryTable" Target="../queryTables/queryTable46.xml"/></Relationships>
</file>

<file path=xl/tables/_rels/table47.xml.rels><?xml version="1.0" encoding="UTF-8" standalone="yes"?>
<Relationships xmlns="http://schemas.openxmlformats.org/package/2006/relationships"><Relationship Id="rId1" Type="http://schemas.openxmlformats.org/officeDocument/2006/relationships/queryTable" Target="../queryTables/queryTable47.xml"/></Relationships>
</file>

<file path=xl/tables/_rels/table48.xml.rels><?xml version="1.0" encoding="UTF-8" standalone="yes"?>
<Relationships xmlns="http://schemas.openxmlformats.org/package/2006/relationships"><Relationship Id="rId1" Type="http://schemas.openxmlformats.org/officeDocument/2006/relationships/queryTable" Target="../queryTables/queryTable48.xml"/></Relationships>
</file>

<file path=xl/tables/_rels/table49.xml.rels><?xml version="1.0" encoding="UTF-8" standalone="yes"?>
<Relationships xmlns="http://schemas.openxmlformats.org/package/2006/relationships"><Relationship Id="rId1" Type="http://schemas.openxmlformats.org/officeDocument/2006/relationships/queryTable" Target="../queryTables/queryTable49.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50.xml.rels><?xml version="1.0" encoding="UTF-8" standalone="yes"?>
<Relationships xmlns="http://schemas.openxmlformats.org/package/2006/relationships"><Relationship Id="rId1" Type="http://schemas.openxmlformats.org/officeDocument/2006/relationships/queryTable" Target="../queryTables/queryTable50.xml"/></Relationships>
</file>

<file path=xl/tables/_rels/table51.xml.rels><?xml version="1.0" encoding="UTF-8" standalone="yes"?>
<Relationships xmlns="http://schemas.openxmlformats.org/package/2006/relationships"><Relationship Id="rId1" Type="http://schemas.openxmlformats.org/officeDocument/2006/relationships/queryTable" Target="../queryTables/queryTable51.xml"/></Relationships>
</file>

<file path=xl/tables/_rels/table52.xml.rels><?xml version="1.0" encoding="UTF-8" standalone="yes"?>
<Relationships xmlns="http://schemas.openxmlformats.org/package/2006/relationships"><Relationship Id="rId1" Type="http://schemas.openxmlformats.org/officeDocument/2006/relationships/queryTable" Target="../queryTables/queryTable52.xml"/></Relationships>
</file>

<file path=xl/tables/_rels/table53.xml.rels><?xml version="1.0" encoding="UTF-8" standalone="yes"?>
<Relationships xmlns="http://schemas.openxmlformats.org/package/2006/relationships"><Relationship Id="rId1" Type="http://schemas.openxmlformats.org/officeDocument/2006/relationships/queryTable" Target="../queryTables/queryTable53.xml"/></Relationships>
</file>

<file path=xl/tables/_rels/table54.xml.rels><?xml version="1.0" encoding="UTF-8" standalone="yes"?>
<Relationships xmlns="http://schemas.openxmlformats.org/package/2006/relationships"><Relationship Id="rId1" Type="http://schemas.openxmlformats.org/officeDocument/2006/relationships/queryTable" Target="../queryTables/queryTable54.xml"/></Relationships>
</file>

<file path=xl/tables/_rels/table55.xml.rels><?xml version="1.0" encoding="UTF-8" standalone="yes"?>
<Relationships xmlns="http://schemas.openxmlformats.org/package/2006/relationships"><Relationship Id="rId1" Type="http://schemas.openxmlformats.org/officeDocument/2006/relationships/queryTable" Target="../queryTables/queryTable55.xml"/></Relationships>
</file>

<file path=xl/tables/_rels/table56.xml.rels><?xml version="1.0" encoding="UTF-8" standalone="yes"?>
<Relationships xmlns="http://schemas.openxmlformats.org/package/2006/relationships"><Relationship Id="rId1" Type="http://schemas.openxmlformats.org/officeDocument/2006/relationships/queryTable" Target="../queryTables/queryTable56.xml"/></Relationships>
</file>

<file path=xl/tables/_rels/table57.xml.rels><?xml version="1.0" encoding="UTF-8" standalone="yes"?>
<Relationships xmlns="http://schemas.openxmlformats.org/package/2006/relationships"><Relationship Id="rId1" Type="http://schemas.openxmlformats.org/officeDocument/2006/relationships/queryTable" Target="../queryTables/queryTable57.xml"/></Relationships>
</file>

<file path=xl/tables/_rels/table58.xml.rels><?xml version="1.0" encoding="UTF-8" standalone="yes"?>
<Relationships xmlns="http://schemas.openxmlformats.org/package/2006/relationships"><Relationship Id="rId1" Type="http://schemas.openxmlformats.org/officeDocument/2006/relationships/queryTable" Target="../queryTables/queryTable58.xml"/></Relationships>
</file>

<file path=xl/tables/_rels/table59.xml.rels><?xml version="1.0" encoding="UTF-8" standalone="yes"?>
<Relationships xmlns="http://schemas.openxmlformats.org/package/2006/relationships"><Relationship Id="rId1" Type="http://schemas.openxmlformats.org/officeDocument/2006/relationships/queryTable" Target="../queryTables/queryTable59.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60.xml.rels><?xml version="1.0" encoding="UTF-8" standalone="yes"?>
<Relationships xmlns="http://schemas.openxmlformats.org/package/2006/relationships"><Relationship Id="rId1" Type="http://schemas.openxmlformats.org/officeDocument/2006/relationships/queryTable" Target="../queryTables/queryTable60.xml"/></Relationships>
</file>

<file path=xl/tables/_rels/table61.xml.rels><?xml version="1.0" encoding="UTF-8" standalone="yes"?>
<Relationships xmlns="http://schemas.openxmlformats.org/package/2006/relationships"><Relationship Id="rId1" Type="http://schemas.openxmlformats.org/officeDocument/2006/relationships/queryTable" Target="../queryTables/queryTable61.xml"/></Relationships>
</file>

<file path=xl/tables/_rels/table62.xml.rels><?xml version="1.0" encoding="UTF-8" standalone="yes"?>
<Relationships xmlns="http://schemas.openxmlformats.org/package/2006/relationships"><Relationship Id="rId1" Type="http://schemas.openxmlformats.org/officeDocument/2006/relationships/queryTable" Target="../queryTables/queryTable62.xml"/></Relationships>
</file>

<file path=xl/tables/_rels/table63.xml.rels><?xml version="1.0" encoding="UTF-8" standalone="yes"?>
<Relationships xmlns="http://schemas.openxmlformats.org/package/2006/relationships"><Relationship Id="rId1" Type="http://schemas.openxmlformats.org/officeDocument/2006/relationships/queryTable" Target="../queryTables/queryTable63.xml"/></Relationships>
</file>

<file path=xl/tables/_rels/table64.xml.rels><?xml version="1.0" encoding="UTF-8" standalone="yes"?>
<Relationships xmlns="http://schemas.openxmlformats.org/package/2006/relationships"><Relationship Id="rId1" Type="http://schemas.openxmlformats.org/officeDocument/2006/relationships/queryTable" Target="../queryTables/queryTable64.xml"/></Relationships>
</file>

<file path=xl/tables/_rels/table65.xml.rels><?xml version="1.0" encoding="UTF-8" standalone="yes"?>
<Relationships xmlns="http://schemas.openxmlformats.org/package/2006/relationships"><Relationship Id="rId1" Type="http://schemas.openxmlformats.org/officeDocument/2006/relationships/queryTable" Target="../queryTables/queryTable65.xml"/></Relationships>
</file>

<file path=xl/tables/_rels/table66.xml.rels><?xml version="1.0" encoding="UTF-8" standalone="yes"?>
<Relationships xmlns="http://schemas.openxmlformats.org/package/2006/relationships"><Relationship Id="rId1" Type="http://schemas.openxmlformats.org/officeDocument/2006/relationships/queryTable" Target="../queryTables/queryTable66.xml"/></Relationships>
</file>

<file path=xl/tables/_rels/table67.xml.rels><?xml version="1.0" encoding="UTF-8" standalone="yes"?>
<Relationships xmlns="http://schemas.openxmlformats.org/package/2006/relationships"><Relationship Id="rId1" Type="http://schemas.openxmlformats.org/officeDocument/2006/relationships/queryTable" Target="../queryTables/queryTable67.xml"/></Relationships>
</file>

<file path=xl/tables/_rels/table68.xml.rels><?xml version="1.0" encoding="UTF-8" standalone="yes"?>
<Relationships xmlns="http://schemas.openxmlformats.org/package/2006/relationships"><Relationship Id="rId1" Type="http://schemas.openxmlformats.org/officeDocument/2006/relationships/queryTable" Target="../queryTables/queryTable68.xml"/></Relationships>
</file>

<file path=xl/tables/_rels/table69.xml.rels><?xml version="1.0" encoding="UTF-8" standalone="yes"?>
<Relationships xmlns="http://schemas.openxmlformats.org/package/2006/relationships"><Relationship Id="rId1" Type="http://schemas.openxmlformats.org/officeDocument/2006/relationships/queryTable" Target="../queryTables/queryTable69.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70.xml.rels><?xml version="1.0" encoding="UTF-8" standalone="yes"?>
<Relationships xmlns="http://schemas.openxmlformats.org/package/2006/relationships"><Relationship Id="rId1" Type="http://schemas.openxmlformats.org/officeDocument/2006/relationships/queryTable" Target="../queryTables/queryTable70.xml"/></Relationships>
</file>

<file path=xl/tables/_rels/table71.xml.rels><?xml version="1.0" encoding="UTF-8" standalone="yes"?>
<Relationships xmlns="http://schemas.openxmlformats.org/package/2006/relationships"><Relationship Id="rId1" Type="http://schemas.openxmlformats.org/officeDocument/2006/relationships/queryTable" Target="../queryTables/queryTable71.xml"/></Relationships>
</file>

<file path=xl/tables/_rels/table72.xml.rels><?xml version="1.0" encoding="UTF-8" standalone="yes"?>
<Relationships xmlns="http://schemas.openxmlformats.org/package/2006/relationships"><Relationship Id="rId1" Type="http://schemas.openxmlformats.org/officeDocument/2006/relationships/queryTable" Target="../queryTables/queryTable72.xml"/></Relationships>
</file>

<file path=xl/tables/_rels/table73.xml.rels><?xml version="1.0" encoding="UTF-8" standalone="yes"?>
<Relationships xmlns="http://schemas.openxmlformats.org/package/2006/relationships"><Relationship Id="rId1" Type="http://schemas.openxmlformats.org/officeDocument/2006/relationships/queryTable" Target="../queryTables/queryTable73.xml"/></Relationships>
</file>

<file path=xl/tables/_rels/table74.xml.rels><?xml version="1.0" encoding="UTF-8" standalone="yes"?>
<Relationships xmlns="http://schemas.openxmlformats.org/package/2006/relationships"><Relationship Id="rId1" Type="http://schemas.openxmlformats.org/officeDocument/2006/relationships/queryTable" Target="../queryTables/queryTable74.xml"/></Relationships>
</file>

<file path=xl/tables/_rels/table75.xml.rels><?xml version="1.0" encoding="UTF-8" standalone="yes"?>
<Relationships xmlns="http://schemas.openxmlformats.org/package/2006/relationships"><Relationship Id="rId1" Type="http://schemas.openxmlformats.org/officeDocument/2006/relationships/queryTable" Target="../queryTables/queryTable75.xml"/></Relationships>
</file>

<file path=xl/tables/_rels/table76.xml.rels><?xml version="1.0" encoding="UTF-8" standalone="yes"?>
<Relationships xmlns="http://schemas.openxmlformats.org/package/2006/relationships"><Relationship Id="rId1" Type="http://schemas.openxmlformats.org/officeDocument/2006/relationships/queryTable" Target="../queryTables/queryTable76.xml"/></Relationships>
</file>

<file path=xl/tables/_rels/table77.xml.rels><?xml version="1.0" encoding="UTF-8" standalone="yes"?>
<Relationships xmlns="http://schemas.openxmlformats.org/package/2006/relationships"><Relationship Id="rId1" Type="http://schemas.openxmlformats.org/officeDocument/2006/relationships/queryTable" Target="../queryTables/queryTable77.xml"/></Relationships>
</file>

<file path=xl/tables/_rels/table78.xml.rels><?xml version="1.0" encoding="UTF-8" standalone="yes"?>
<Relationships xmlns="http://schemas.openxmlformats.org/package/2006/relationships"><Relationship Id="rId1" Type="http://schemas.openxmlformats.org/officeDocument/2006/relationships/queryTable" Target="../queryTables/queryTable78.xml"/></Relationships>
</file>

<file path=xl/tables/_rels/table79.xml.rels><?xml version="1.0" encoding="UTF-8" standalone="yes"?>
<Relationships xmlns="http://schemas.openxmlformats.org/package/2006/relationships"><Relationship Id="rId1" Type="http://schemas.openxmlformats.org/officeDocument/2006/relationships/queryTable" Target="../queryTables/queryTable79.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80.xml.rels><?xml version="1.0" encoding="UTF-8" standalone="yes"?>
<Relationships xmlns="http://schemas.openxmlformats.org/package/2006/relationships"><Relationship Id="rId1" Type="http://schemas.openxmlformats.org/officeDocument/2006/relationships/queryTable" Target="../queryTables/queryTable80.xml"/></Relationships>
</file>

<file path=xl/tables/_rels/table81.xml.rels><?xml version="1.0" encoding="UTF-8" standalone="yes"?>
<Relationships xmlns="http://schemas.openxmlformats.org/package/2006/relationships"><Relationship Id="rId1" Type="http://schemas.openxmlformats.org/officeDocument/2006/relationships/queryTable" Target="../queryTables/queryTable81.xml"/></Relationships>
</file>

<file path=xl/tables/_rels/table82.xml.rels><?xml version="1.0" encoding="UTF-8" standalone="yes"?>
<Relationships xmlns="http://schemas.openxmlformats.org/package/2006/relationships"><Relationship Id="rId1" Type="http://schemas.openxmlformats.org/officeDocument/2006/relationships/queryTable" Target="../queryTables/queryTable82.xml"/></Relationships>
</file>

<file path=xl/tables/_rels/table83.xml.rels><?xml version="1.0" encoding="UTF-8" standalone="yes"?>
<Relationships xmlns="http://schemas.openxmlformats.org/package/2006/relationships"><Relationship Id="rId1" Type="http://schemas.openxmlformats.org/officeDocument/2006/relationships/queryTable" Target="../queryTables/queryTable83.xml"/></Relationships>
</file>

<file path=xl/tables/_rels/table84.xml.rels><?xml version="1.0" encoding="UTF-8" standalone="yes"?>
<Relationships xmlns="http://schemas.openxmlformats.org/package/2006/relationships"><Relationship Id="rId1" Type="http://schemas.openxmlformats.org/officeDocument/2006/relationships/queryTable" Target="../queryTables/queryTable84.xml"/></Relationships>
</file>

<file path=xl/tables/_rels/table85.xml.rels><?xml version="1.0" encoding="UTF-8" standalone="yes"?>
<Relationships xmlns="http://schemas.openxmlformats.org/package/2006/relationships"><Relationship Id="rId1" Type="http://schemas.openxmlformats.org/officeDocument/2006/relationships/queryTable" Target="../queryTables/queryTable85.xml"/></Relationships>
</file>

<file path=xl/tables/_rels/table86.xml.rels><?xml version="1.0" encoding="UTF-8" standalone="yes"?>
<Relationships xmlns="http://schemas.openxmlformats.org/package/2006/relationships"><Relationship Id="rId1" Type="http://schemas.openxmlformats.org/officeDocument/2006/relationships/queryTable" Target="../queryTables/queryTable86.xml"/></Relationships>
</file>

<file path=xl/tables/_rels/table87.xml.rels><?xml version="1.0" encoding="UTF-8" standalone="yes"?>
<Relationships xmlns="http://schemas.openxmlformats.org/package/2006/relationships"><Relationship Id="rId1" Type="http://schemas.openxmlformats.org/officeDocument/2006/relationships/queryTable" Target="../queryTables/queryTable87.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id="4" name="Table_Default__XLS_TAB_1" displayName="Table_Default__XLS_TAB_1" ref="A10:N19" tableType="queryTable" headerRowCount="0" totalsRowShown="0" headerRowDxfId="2340" dataDxfId="2338" headerRowBorderDxfId="2339" tableBorderDxfId="2337" totalsRowBorderDxfId="2336">
  <tableColumns count="14">
    <tableColumn id="253" uniqueName="253" name="YEAR_AR" queryTableFieldId="1" dataDxfId="2335" totalsRowDxfId="2334" dataCellStyle="Normal 2"/>
    <tableColumn id="254" uniqueName="254" name="M_QTRI_COUNT" queryTableFieldId="2" dataDxfId="2333" totalsRowDxfId="2332" dataCellStyle="Normal 2"/>
    <tableColumn id="255" uniqueName="255" name="M_QTRI_PSG" queryTableFieldId="3" dataDxfId="2331" totalsRowDxfId="2330" dataCellStyle="Normal 2"/>
    <tableColumn id="256" uniqueName="256" name="M_NQTRI_COUNT" queryTableFieldId="4" dataDxfId="2329" totalsRowDxfId="2328" dataCellStyle="Normal 2"/>
    <tableColumn id="257" uniqueName="257" name="M_NQTRI_PSG" queryTableFieldId="5" dataDxfId="2327" totalsRowDxfId="2326" dataCellStyle="Normal 2"/>
    <tableColumn id="258" uniqueName="258" name="M_QTRI_TOT_COUNT" queryTableFieldId="6" dataDxfId="2325" totalsRowDxfId="2324" dataCellStyle="Normal 2"/>
    <tableColumn id="259" uniqueName="259" name="M_QTRI_TOT_PSG" queryTableFieldId="7" dataDxfId="2323" totalsRowDxfId="2322" dataCellStyle="Normal 2"/>
    <tableColumn id="260" uniqueName="260" name="D_QTRI_COUNT" queryTableFieldId="8" dataDxfId="2321" totalsRowDxfId="2320" dataCellStyle="Normal 2"/>
    <tableColumn id="261" uniqueName="261" name="D_QTRI_PSG" queryTableFieldId="9" dataDxfId="2319" totalsRowDxfId="2318" dataCellStyle="Normal 2"/>
    <tableColumn id="262" uniqueName="262" name="D_NQTRI_COUNT" queryTableFieldId="10" dataDxfId="2317" totalsRowDxfId="2316" dataCellStyle="Normal 2"/>
    <tableColumn id="263" uniqueName="263" name="D_NQTRI_PSG" queryTableFieldId="11" dataDxfId="2315" totalsRowDxfId="2314" dataCellStyle="Normal 2"/>
    <tableColumn id="264" uniqueName="264" name="D_QTRI_TOT_COUNT" queryTableFieldId="12" dataDxfId="2313" totalsRowDxfId="2312" dataCellStyle="Normal 2"/>
    <tableColumn id="265" uniqueName="265" name="D_QTRI_TOT_PSG" queryTableFieldId="13" dataDxfId="2311" totalsRowDxfId="2310" dataCellStyle="Normal 2"/>
    <tableColumn id="266" uniqueName="266" name="YEAR_ENG" queryTableFieldId="14" dataDxfId="2309" totalsRowDxfId="2308" dataCellStyle="Normal 2"/>
  </tableColumns>
  <tableStyleInfo name="VITAL" showFirstColumn="0" showLastColumn="0" showRowStripes="1" showColumnStripes="0"/>
</table>
</file>

<file path=xl/tables/table10.xml><?xml version="1.0" encoding="utf-8"?>
<table xmlns="http://schemas.openxmlformats.org/spreadsheetml/2006/main" id="8" name="Table_Default__XLS_TAB_11_2" displayName="Table_Default__XLS_TAB_11_2" ref="A9:N23" tableType="queryTable" headerRowCount="0" totalsRowCount="1" dataDxfId="2053" totalsRowDxfId="2051" tableBorderDxfId="2052" totalsRowBorderDxfId="2050" dataCellStyle="Normal 2">
  <tableColumns count="14">
    <tableColumn id="1" uniqueName="1" name="AGE_LEVEL_HUSBD_ARB" totalsRowLabel="المجموع" queryTableFieldId="1" headerRowDxfId="2049" dataDxfId="2048" totalsRowDxfId="2047" headerRowCellStyle="Normal 2" dataCellStyle="Normal 2"/>
    <tableColumn id="2" uniqueName="2" name="AGE_LEVEL_LESS_20" totalsRowFunction="sum" queryTableFieldId="2" headerRowDxfId="2046" dataDxfId="2045" totalsRowDxfId="2044" headerRowCellStyle="Normal 2" dataCellStyle="Normal 2"/>
    <tableColumn id="3" uniqueName="3" name="AGE_LEVEL_20_24" totalsRowFunction="sum" queryTableFieldId="3" headerRowDxfId="2043" dataDxfId="2042" totalsRowDxfId="2041" headerRowCellStyle="Normal 2" dataCellStyle="Normal 2"/>
    <tableColumn id="4" uniqueName="4" name="AGE_LEVEL_25_29" totalsRowFunction="sum" queryTableFieldId="4" headerRowDxfId="2040" dataDxfId="2039" totalsRowDxfId="2038" headerRowCellStyle="Normal 2" dataCellStyle="Normal 2"/>
    <tableColumn id="5" uniqueName="5" name="AGE_LEVEL_30_34" totalsRowFunction="sum" queryTableFieldId="5" headerRowDxfId="2037" dataDxfId="2036" totalsRowDxfId="2035" headerRowCellStyle="Normal 2" dataCellStyle="Normal 2"/>
    <tableColumn id="6" uniqueName="6" name="AGE_LEVEL_35_39" totalsRowFunction="sum" queryTableFieldId="6" headerRowDxfId="2034" dataDxfId="2033" totalsRowDxfId="2032" headerRowCellStyle="Normal 2" dataCellStyle="Normal 2"/>
    <tableColumn id="7" uniqueName="7" name="AGE_LEVEL_40_44" totalsRowFunction="sum" queryTableFieldId="7" headerRowDxfId="2031" dataDxfId="2030" totalsRowDxfId="2029" headerRowCellStyle="Normal 2" dataCellStyle="Normal 2"/>
    <tableColumn id="8" uniqueName="8" name="AGE_LEVEL_45_49" totalsRowFunction="sum" queryTableFieldId="8" headerRowDxfId="2028" dataDxfId="2027" totalsRowDxfId="2026" headerRowCellStyle="Normal 2" dataCellStyle="Normal 2"/>
    <tableColumn id="9" uniqueName="9" name="AGE_LEVEL_50_54" totalsRowFunction="sum" queryTableFieldId="9" headerRowDxfId="2025" dataDxfId="2024" totalsRowDxfId="2023" headerRowCellStyle="Normal 2" dataCellStyle="Normal 2"/>
    <tableColumn id="10" uniqueName="10" name="AGE_LEVEL_55_59" totalsRowFunction="sum" queryTableFieldId="10" headerRowDxfId="2022" dataDxfId="2021" totalsRowDxfId="2020" headerRowCellStyle="Normal 2" dataCellStyle="Normal 2"/>
    <tableColumn id="11" uniqueName="11" name="AGE_LEVEL_UP_60" totalsRowFunction="sum" queryTableFieldId="11" headerRowDxfId="2019" dataDxfId="2018" totalsRowDxfId="2017" headerRowCellStyle="Normal 2" dataCellStyle="Normal 2"/>
    <tableColumn id="12" uniqueName="12" name="AGE_LEVEL_NOT_STATED" totalsRowFunction="sum" queryTableFieldId="12" headerRowDxfId="2016" dataDxfId="2015" totalsRowDxfId="2014" headerRowCellStyle="Normal 2" dataCellStyle="Normal 2"/>
    <tableColumn id="13" uniqueName="13" name="TOTAL" totalsRowFunction="sum" queryTableFieldId="13" headerRowDxfId="2013" dataDxfId="2012" totalsRowDxfId="2011" headerRowCellStyle="Normal 2" dataCellStyle="Normal 2"/>
    <tableColumn id="14" uniqueName="14" name="AGE_LEVEL_HUSBD_ENG" totalsRowLabel="Total" queryTableFieldId="14" headerRowDxfId="2010" dataDxfId="2009" totalsRowDxfId="2008" headerRowCellStyle="Normal 2" dataCellStyle="Normal 2"/>
  </tableColumns>
  <tableStyleInfo name="VITAL" showFirstColumn="0" showLastColumn="0" showRowStripes="1" showColumnStripes="0"/>
</table>
</file>

<file path=xl/tables/table11.xml><?xml version="1.0" encoding="utf-8"?>
<table xmlns="http://schemas.openxmlformats.org/spreadsheetml/2006/main" id="9" name="Table_Default__XLS_TAB_11_3" displayName="Table_Default__XLS_TAB_11_3" ref="A9:N23" tableType="queryTable" headerRowCount="0" totalsRowCount="1" dataDxfId="2007" totalsRowDxfId="2006" totalsRowBorderDxfId="2005" dataCellStyle="Normal 2">
  <tableColumns count="14">
    <tableColumn id="1" uniqueName="1" name="AGE_LEVEL_HUSBD_ARB" totalsRowLabel="المجموع" queryTableFieldId="1" headerRowDxfId="2004" dataDxfId="2003" totalsRowDxfId="2002" headerRowCellStyle="Normal 2" dataCellStyle="Normal 2"/>
    <tableColumn id="2" uniqueName="2" name="AGE_LEVEL_LESS_20" totalsRowFunction="sum" queryTableFieldId="2" headerRowDxfId="2001" dataDxfId="2000" totalsRowDxfId="1999" headerRowCellStyle="Normal 2" dataCellStyle="Normal 2"/>
    <tableColumn id="3" uniqueName="3" name="AGE_LEVEL_20_24" totalsRowFunction="sum" queryTableFieldId="3" headerRowDxfId="1998" dataDxfId="1997" totalsRowDxfId="1996" headerRowCellStyle="Normal 2" dataCellStyle="Normal 2"/>
    <tableColumn id="4" uniqueName="4" name="AGE_LEVEL_25_29" totalsRowFunction="sum" queryTableFieldId="4" headerRowDxfId="1995" dataDxfId="1994" totalsRowDxfId="1993" headerRowCellStyle="Normal 2" dataCellStyle="Normal 2"/>
    <tableColumn id="5" uniqueName="5" name="AGE_LEVEL_30_34" totalsRowFunction="sum" queryTableFieldId="5" headerRowDxfId="1992" dataDxfId="1991" totalsRowDxfId="1990" headerRowCellStyle="Normal 2" dataCellStyle="Normal 2"/>
    <tableColumn id="6" uniqueName="6" name="AGE_LEVEL_35_39" totalsRowFunction="sum" queryTableFieldId="6" headerRowDxfId="1989" dataDxfId="1988" totalsRowDxfId="1987" headerRowCellStyle="Normal 2" dataCellStyle="Normal 2"/>
    <tableColumn id="7" uniqueName="7" name="AGE_LEVEL_40_44" totalsRowFunction="sum" queryTableFieldId="7" headerRowDxfId="1986" dataDxfId="1985" totalsRowDxfId="1984" headerRowCellStyle="Normal 2" dataCellStyle="Normal 2"/>
    <tableColumn id="8" uniqueName="8" name="AGE_LEVEL_45_49" totalsRowFunction="sum" queryTableFieldId="8" headerRowDxfId="1983" dataDxfId="1982" totalsRowDxfId="1981" headerRowCellStyle="Normal 2" dataCellStyle="Normal 2"/>
    <tableColumn id="9" uniqueName="9" name="AGE_LEVEL_50_54" totalsRowFunction="sum" queryTableFieldId="9" headerRowDxfId="1980" dataDxfId="1979" totalsRowDxfId="1978" headerRowCellStyle="Normal 2" dataCellStyle="Normal 2"/>
    <tableColumn id="10" uniqueName="10" name="AGE_LEVEL_55_59" totalsRowFunction="sum" queryTableFieldId="10" headerRowDxfId="1977" dataDxfId="1976" totalsRowDxfId="1975" headerRowCellStyle="Normal 2" dataCellStyle="Normal 2"/>
    <tableColumn id="11" uniqueName="11" name="AGE_LEVEL_UP_60" totalsRowFunction="sum" queryTableFieldId="11" headerRowDxfId="1974" dataDxfId="1973" totalsRowDxfId="1972" headerRowCellStyle="Normal 2" dataCellStyle="Normal 2"/>
    <tableColumn id="12" uniqueName="12" name="AGE_LEVEL_NOT_STATED" totalsRowFunction="sum" queryTableFieldId="12" headerRowDxfId="1971" dataDxfId="1970" totalsRowDxfId="1969" headerRowCellStyle="Normal 2" dataCellStyle="Normal 2"/>
    <tableColumn id="13" uniqueName="13" name="TOTAL" totalsRowFunction="sum" queryTableFieldId="13" headerRowDxfId="1968" dataDxfId="1967" totalsRowDxfId="1966" headerRowCellStyle="Normal 2" dataCellStyle="Normal 2"/>
    <tableColumn id="14" uniqueName="14" name="AGE_LEVEL_HUSBD_ENG" totalsRowLabel="Total" queryTableFieldId="14" headerRowDxfId="1965" dataDxfId="1964" totalsRowDxfId="1963" headerRowCellStyle="Normal 2" dataCellStyle="Normal 2"/>
  </tableColumns>
  <tableStyleInfo name="VITAL" showFirstColumn="0" showLastColumn="0" showRowStripes="1" showColumnStripes="0"/>
</table>
</file>

<file path=xl/tables/table12.xml><?xml version="1.0" encoding="utf-8"?>
<table xmlns="http://schemas.openxmlformats.org/spreadsheetml/2006/main" id="10" name="Table_Default__XLS_TAB_12_1" displayName="Table_Default__XLS_TAB_12_1" ref="A9:H23" tableType="queryTable" headerRowCount="0" totalsRowCount="1" headerRowDxfId="1962" dataDxfId="1961" totalsRowDxfId="1960" totalsRowBorderDxfId="1959">
  <tableColumns count="8">
    <tableColumn id="1" uniqueName="1" name="AGE_LEVEL_HUSBD_ARB" totalsRowLabel="المجموع" queryTableFieldId="1" headerRowDxfId="1958" dataDxfId="1957" totalsRowDxfId="1956" headerRowCellStyle="Normal 2" dataCellStyle="Normal 2"/>
    <tableColumn id="2" uniqueName="2" name="NO_WIFE_0" totalsRowFunction="sum" queryTableFieldId="2" headerRowDxfId="1955" dataDxfId="1954" totalsRowDxfId="1953" headerRowCellStyle="Normal 2" dataCellStyle="Normal 2"/>
    <tableColumn id="3" uniqueName="3" name="NO_WIFE_1" totalsRowFunction="sum" queryTableFieldId="3" headerRowDxfId="1952" dataDxfId="1951" totalsRowDxfId="1950" headerRowCellStyle="Normal 2" dataCellStyle="Normal 2"/>
    <tableColumn id="4" uniqueName="4" name="NO_WIFE_2" totalsRowFunction="sum" queryTableFieldId="4" headerRowDxfId="1949" dataDxfId="1948" totalsRowDxfId="1947" headerRowCellStyle="Normal 2" dataCellStyle="Normal 2"/>
    <tableColumn id="5" uniqueName="5" name="NO_WIFE_3" totalsRowFunction="sum" queryTableFieldId="5" headerRowDxfId="1946" dataDxfId="1945" totalsRowDxfId="1944" headerRowCellStyle="Normal 2" dataCellStyle="Normal 2"/>
    <tableColumn id="6" uniqueName="6" name="NO_WIFE_NOT_STATED" totalsRowFunction="sum" queryTableFieldId="6" headerRowDxfId="1943" dataDxfId="1942" totalsRowDxfId="1941" headerRowCellStyle="Normal 2" dataCellStyle="Normal 2"/>
    <tableColumn id="7" uniqueName="7" name="TOTAL" totalsRowFunction="sum" queryTableFieldId="7" headerRowDxfId="1940" dataDxfId="1939" totalsRowDxfId="1938" headerRowCellStyle="Normal 2" dataCellStyle="Normal 2"/>
    <tableColumn id="8" uniqueName="8" name="AGE_LEVEL_HUSBD_ENG" totalsRowLabel="Total" queryTableFieldId="8" headerRowDxfId="1937" dataDxfId="1936" totalsRowDxfId="1935" headerRowCellStyle="Normal 2" dataCellStyle="Normal 2"/>
  </tableColumns>
  <tableStyleInfo name="VITAL" showFirstColumn="0" showLastColumn="0" showRowStripes="1" showColumnStripes="0"/>
</table>
</file>

<file path=xl/tables/table13.xml><?xml version="1.0" encoding="utf-8"?>
<table xmlns="http://schemas.openxmlformats.org/spreadsheetml/2006/main" id="11" name="Table_Default__XLS_TAB_12_2" displayName="Table_Default__XLS_TAB_12_2" ref="A9:H23" tableType="queryTable" headerRowCount="0" totalsRowCount="1" dataDxfId="1934" totalsRowDxfId="1932" tableBorderDxfId="1933" totalsRowBorderDxfId="1931" dataCellStyle="Normal 2">
  <tableColumns count="8">
    <tableColumn id="1" uniqueName="1" name="AGE_LEVEL_HUSBD_ARB" totalsRowLabel="المجموع" queryTableFieldId="1" headerRowDxfId="1930" dataDxfId="1929" totalsRowDxfId="1928" headerRowCellStyle="Normal 2" dataCellStyle="Normal 2"/>
    <tableColumn id="2" uniqueName="2" name="NO_WIFE_0" totalsRowFunction="sum" queryTableFieldId="2" headerRowDxfId="1927" dataDxfId="1926" totalsRowDxfId="1925" headerRowCellStyle="Normal 2" dataCellStyle="Normal 2"/>
    <tableColumn id="3" uniqueName="3" name="NO_WIFE_1" totalsRowFunction="sum" queryTableFieldId="3" headerRowDxfId="1924" dataDxfId="1923" totalsRowDxfId="1922" headerRowCellStyle="Normal 2" dataCellStyle="Normal 2"/>
    <tableColumn id="4" uniqueName="4" name="NO_WIFE_2" totalsRowFunction="sum" queryTableFieldId="4" headerRowDxfId="1921" dataDxfId="1920" totalsRowDxfId="1919" headerRowCellStyle="Normal 2" dataCellStyle="Normal 2"/>
    <tableColumn id="5" uniqueName="5" name="NO_WIFE_3" totalsRowFunction="sum" queryTableFieldId="5" headerRowDxfId="1918" dataDxfId="1917" totalsRowDxfId="1916" headerRowCellStyle="Normal 2" dataCellStyle="Normal 2"/>
    <tableColumn id="6" uniqueName="6" name="NO_WIFE_NOT_STATED" totalsRowFunction="sum" queryTableFieldId="6" headerRowDxfId="1915" dataDxfId="1914" totalsRowDxfId="1913" headerRowCellStyle="Normal 2" dataCellStyle="Normal 2"/>
    <tableColumn id="7" uniqueName="7" name="TOTAL" totalsRowFunction="sum" queryTableFieldId="7" headerRowDxfId="1912" dataDxfId="1911" totalsRowDxfId="1910" headerRowCellStyle="Normal 2" dataCellStyle="Normal 2"/>
    <tableColumn id="8" uniqueName="8" name="AGE_LEVEL_HUSBD_ENG" totalsRowLabel="Total" queryTableFieldId="8" headerRowDxfId="1909" dataDxfId="1908" totalsRowDxfId="1907" headerRowCellStyle="Normal 2" dataCellStyle="Normal 2"/>
  </tableColumns>
  <tableStyleInfo name="VITAL" showFirstColumn="0" showLastColumn="0" showRowStripes="1" showColumnStripes="0"/>
</table>
</file>

<file path=xl/tables/table14.xml><?xml version="1.0" encoding="utf-8"?>
<table xmlns="http://schemas.openxmlformats.org/spreadsheetml/2006/main" id="12" name="Table_Default__XLS_TAB_12_3" displayName="Table_Default__XLS_TAB_12_3" ref="A9:H23" tableType="queryTable" headerRowCount="0" totalsRowCount="1" dataDxfId="1906" totalsRowDxfId="1904" tableBorderDxfId="1905" totalsRowBorderDxfId="1903" dataCellStyle="Normal 2">
  <tableColumns count="8">
    <tableColumn id="1" uniqueName="1" name="AGE_LEVEL_HUSBD_ARB" totalsRowLabel="المجموع" queryTableFieldId="1" headerRowDxfId="1902" dataDxfId="1901" totalsRowDxfId="1900" headerRowCellStyle="Normal 2" dataCellStyle="Normal 2"/>
    <tableColumn id="2" uniqueName="2" name="NO_WIFE_0" totalsRowFunction="sum" queryTableFieldId="2" headerRowDxfId="1899" dataDxfId="1898" totalsRowDxfId="1897" headerRowCellStyle="Normal 2" dataCellStyle="Normal 2"/>
    <tableColumn id="3" uniqueName="3" name="NO_WIFE_1" totalsRowFunction="sum" queryTableFieldId="3" headerRowDxfId="1896" dataDxfId="1895" totalsRowDxfId="1894" headerRowCellStyle="Normal 2" dataCellStyle="Normal 2"/>
    <tableColumn id="4" uniqueName="4" name="NO_WIFE_2" totalsRowFunction="sum" queryTableFieldId="4" headerRowDxfId="1893" dataDxfId="1892" totalsRowDxfId="1891" headerRowCellStyle="Normal 2" dataCellStyle="Normal 2"/>
    <tableColumn id="5" uniqueName="5" name="NO_WIFE_3" totalsRowFunction="sum" queryTableFieldId="5" headerRowDxfId="1890" dataDxfId="1889" totalsRowDxfId="1888" headerRowCellStyle="Normal 2" dataCellStyle="Normal 2"/>
    <tableColumn id="6" uniqueName="6" name="NO_WIFE_NOT_STATED" totalsRowFunction="sum" queryTableFieldId="6" headerRowDxfId="1887" dataDxfId="1886" totalsRowDxfId="1885" headerRowCellStyle="Normal 2" dataCellStyle="Normal 2"/>
    <tableColumn id="7" uniqueName="7" name="TOTAL" totalsRowFunction="sum" queryTableFieldId="7" headerRowDxfId="1884" dataDxfId="1883" totalsRowDxfId="1882" headerRowCellStyle="Normal 2" dataCellStyle="Normal 2"/>
    <tableColumn id="8" uniqueName="8" name="AGE_LEVEL_HUSBD_ENG" totalsRowLabel="Total" queryTableFieldId="8" headerRowDxfId="1881" dataDxfId="1880" totalsRowDxfId="1879" headerRowCellStyle="Normal 2" dataCellStyle="Normal 2"/>
  </tableColumns>
  <tableStyleInfo name="VITAL" showFirstColumn="0" showLastColumn="0" showRowStripes="1" showColumnStripes="0"/>
</table>
</file>

<file path=xl/tables/table15.xml><?xml version="1.0" encoding="utf-8"?>
<table xmlns="http://schemas.openxmlformats.org/spreadsheetml/2006/main" id="13" name="Table_Default__XLS_TAB_13_1" displayName="Table_Default__XLS_TAB_13_1" ref="A9:H23" tableType="queryTable" headerRowCount="0" totalsRowCount="1" headerRowDxfId="1878" dataDxfId="1877" totalsRowDxfId="1876" totalsRowBorderDxfId="1875">
  <tableColumns count="8">
    <tableColumn id="1" uniqueName="1" name="AGE_LEVEL_HUSBD_ARB" totalsRowLabel="المجموع" queryTableFieldId="1" headerRowDxfId="1874" dataDxfId="1873" totalsRowDxfId="1872" headerRowCellStyle="Normal 2" dataCellStyle="Normal 2"/>
    <tableColumn id="2" uniqueName="2" name="NEVER_MARR" totalsRowFunction="sum" queryTableFieldId="2" headerRowDxfId="1871" dataDxfId="1870" totalsRowDxfId="1869" headerRowCellStyle="Normal 2" dataCellStyle="Normal 2"/>
    <tableColumn id="3" uniqueName="3" name="MARRIED" totalsRowFunction="sum" queryTableFieldId="3" headerRowDxfId="1868" dataDxfId="1867" totalsRowDxfId="1866" headerRowCellStyle="Normal 2" dataCellStyle="Normal 2"/>
    <tableColumn id="4" uniqueName="4" name="DIVORCES" totalsRowFunction="sum" queryTableFieldId="4" headerRowDxfId="1865" dataDxfId="1864" totalsRowDxfId="1863" headerRowCellStyle="Normal 2" dataCellStyle="Normal 2"/>
    <tableColumn id="5" uniqueName="5" name="WIDOWED" totalsRowFunction="sum" queryTableFieldId="5" headerRowDxfId="1862" dataDxfId="1861" totalsRowDxfId="1860" headerRowCellStyle="Normal 2" dataCellStyle="Normal 2"/>
    <tableColumn id="6" uniqueName="6" name="NOT_STATED" totalsRowFunction="sum" queryTableFieldId="6" headerRowDxfId="1859" dataDxfId="1858" totalsRowDxfId="1857" headerRowCellStyle="Normal 2" dataCellStyle="Normal 2"/>
    <tableColumn id="7" uniqueName="7" name="TOTAL" totalsRowFunction="sum" queryTableFieldId="7" headerRowDxfId="1856" dataDxfId="1855" totalsRowDxfId="1854" headerRowCellStyle="Normal 2" dataCellStyle="Normal 2"/>
    <tableColumn id="8" uniqueName="8" name="AGE_LEVEL_HUSBD_ENG" totalsRowLabel="Total" queryTableFieldId="8" headerRowDxfId="1853" dataDxfId="1852" totalsRowDxfId="1851" headerRowCellStyle="Normal 2" dataCellStyle="Normal 2"/>
  </tableColumns>
  <tableStyleInfo name="VITAL" showFirstColumn="0" showLastColumn="0" showRowStripes="1" showColumnStripes="0"/>
</table>
</file>

<file path=xl/tables/table16.xml><?xml version="1.0" encoding="utf-8"?>
<table xmlns="http://schemas.openxmlformats.org/spreadsheetml/2006/main" id="14" name="Table_Default__XLS_TAB_13_2" displayName="Table_Default__XLS_TAB_13_2" ref="A9:H23" tableType="queryTable" headerRowCount="0" totalsRowCount="1" dataDxfId="1850" totalsRowDxfId="1848" tableBorderDxfId="1849" totalsRowBorderDxfId="1847" dataCellStyle="Normal 2">
  <tableColumns count="8">
    <tableColumn id="1" uniqueName="1" name="AGE_LEVEL_HUSBD_ARB" totalsRowLabel="المجموع" queryTableFieldId="1" headerRowDxfId="1846" dataDxfId="1845" totalsRowDxfId="1844" headerRowCellStyle="Normal 2" dataCellStyle="Normal 2"/>
    <tableColumn id="2" uniqueName="2" name="NEVER_MARR" totalsRowFunction="sum" queryTableFieldId="2" headerRowDxfId="1843" dataDxfId="1842" totalsRowDxfId="1841" headerRowCellStyle="Normal 2" dataCellStyle="Normal 2"/>
    <tableColumn id="3" uniqueName="3" name="MARRIED" totalsRowFunction="sum" queryTableFieldId="3" headerRowDxfId="1840" dataDxfId="1839" totalsRowDxfId="1838" headerRowCellStyle="Normal 2" dataCellStyle="Normal 2"/>
    <tableColumn id="4" uniqueName="4" name="DIVORCES" totalsRowFunction="sum" queryTableFieldId="4" headerRowDxfId="1837" dataDxfId="1836" totalsRowDxfId="1835" headerRowCellStyle="Normal 2" dataCellStyle="Normal 2"/>
    <tableColumn id="5" uniqueName="5" name="WIDOWED" totalsRowFunction="sum" queryTableFieldId="5" headerRowDxfId="1834" dataDxfId="1833" totalsRowDxfId="1832" headerRowCellStyle="Normal 2" dataCellStyle="Normal 2"/>
    <tableColumn id="6" uniqueName="6" name="NOT_STATED" totalsRowFunction="sum" queryTableFieldId="6" headerRowDxfId="1831" dataDxfId="1830" totalsRowDxfId="1829" headerRowCellStyle="Normal 2" dataCellStyle="Normal 2"/>
    <tableColumn id="7" uniqueName="7" name="TOTAL" totalsRowFunction="sum" queryTableFieldId="7" headerRowDxfId="1828" dataDxfId="1827" totalsRowDxfId="1826" headerRowCellStyle="Normal 2" dataCellStyle="Normal 2"/>
    <tableColumn id="8" uniqueName="8" name="AGE_LEVEL_HUSBD_ENG" totalsRowLabel="Total" queryTableFieldId="8" headerRowDxfId="1825" dataDxfId="1824" totalsRowDxfId="1823" headerRowCellStyle="Normal 2" dataCellStyle="Normal 2"/>
  </tableColumns>
  <tableStyleInfo name="VITAL" showFirstColumn="0" showLastColumn="0" showRowStripes="1" showColumnStripes="0"/>
</table>
</file>

<file path=xl/tables/table17.xml><?xml version="1.0" encoding="utf-8"?>
<table xmlns="http://schemas.openxmlformats.org/spreadsheetml/2006/main" id="15" name="Table_Default__XLS_TAB_13_3" displayName="Table_Default__XLS_TAB_13_3" ref="A9:H23" tableType="queryTable" headerRowCount="0" totalsRowCount="1" dataDxfId="1822" totalsRowDxfId="1820" tableBorderDxfId="1821" totalsRowBorderDxfId="1819" dataCellStyle="Normal 2">
  <tableColumns count="8">
    <tableColumn id="1" uniqueName="1" name="AGE_LEVEL_HUSBD_ARB" totalsRowLabel="المجموع" queryTableFieldId="1" headerRowDxfId="1818" dataDxfId="1817" totalsRowDxfId="1816" headerRowCellStyle="Normal 2" dataCellStyle="Normal 2"/>
    <tableColumn id="2" uniqueName="2" name="NEVER_MARR" totalsRowFunction="sum" queryTableFieldId="2" headerRowDxfId="1815" dataDxfId="1814" totalsRowDxfId="1813" headerRowCellStyle="Normal 2" dataCellStyle="Normal 2"/>
    <tableColumn id="3" uniqueName="3" name="MARRIED" totalsRowFunction="sum" queryTableFieldId="3" headerRowDxfId="1812" dataDxfId="1811" totalsRowDxfId="1810" headerRowCellStyle="Normal 2" dataCellStyle="Normal 2"/>
    <tableColumn id="4" uniqueName="4" name="DIVORCES" totalsRowFunction="sum" queryTableFieldId="4" headerRowDxfId="1809" dataDxfId="1808" totalsRowDxfId="1807" headerRowCellStyle="Normal 2" dataCellStyle="Normal 2"/>
    <tableColumn id="5" uniqueName="5" name="WIDOWED" totalsRowFunction="sum" queryTableFieldId="5" headerRowDxfId="1806" dataDxfId="1805" totalsRowDxfId="1804" headerRowCellStyle="Normal 2" dataCellStyle="Normal 2"/>
    <tableColumn id="6" uniqueName="6" name="NOT_STATED" totalsRowFunction="sum" queryTableFieldId="6" headerRowDxfId="1803" dataDxfId="1802" totalsRowDxfId="1801" headerRowCellStyle="Normal 2" dataCellStyle="Normal 2"/>
    <tableColumn id="7" uniqueName="7" name="TOTAL" totalsRowFunction="sum" queryTableFieldId="7" headerRowDxfId="1800" dataDxfId="1799" totalsRowDxfId="1798" headerRowCellStyle="Normal 2" dataCellStyle="Normal 2"/>
    <tableColumn id="8" uniqueName="8" name="AGE_LEVEL_HUSBD_ENG" totalsRowLabel="Total" queryTableFieldId="8" headerRowDxfId="1797" dataDxfId="1796" totalsRowDxfId="1795" headerRowCellStyle="Normal 2" dataCellStyle="Normal 2"/>
  </tableColumns>
  <tableStyleInfo name="VITAL" showFirstColumn="0" showLastColumn="0" showRowStripes="1" showColumnStripes="0"/>
</table>
</file>

<file path=xl/tables/table18.xml><?xml version="1.0" encoding="utf-8"?>
<table xmlns="http://schemas.openxmlformats.org/spreadsheetml/2006/main" id="16" name="Table_Default__XLS_TAB_14_1" displayName="Table_Default__XLS_TAB_14_1" ref="A9:G20" tableType="queryTable" headerRowCount="0" totalsRowCount="1" dataDxfId="1794" totalsRowDxfId="1792" tableBorderDxfId="1793" totalsRowBorderDxfId="1791" dataCellStyle="Normal 2">
  <tableColumns count="7">
    <tableColumn id="1" uniqueName="1" name="AGE_LEVEL_HUSBD_ARB" totalsRowLabel="المجموع" queryTableFieldId="1" headerRowDxfId="1790" dataDxfId="1789" totalsRowDxfId="1788" headerRowCellStyle="Normal 2" dataCellStyle="Normal 2"/>
    <tableColumn id="2" uniqueName="2" name="NOT_MARRIED" totalsRowFunction="sum" queryTableFieldId="2" headerRowDxfId="1787" dataDxfId="1786" totalsRowDxfId="1785" headerRowCellStyle="Normal 2" dataCellStyle="Normal 2"/>
    <tableColumn id="3" uniqueName="3" name="DIVORCES" totalsRowFunction="sum" queryTableFieldId="3" headerRowDxfId="1784" dataDxfId="1783" totalsRowDxfId="1782" headerRowCellStyle="Normal 2" dataCellStyle="Normal 2"/>
    <tableColumn id="4" uniqueName="4" name="WIDOWED" totalsRowFunction="sum" queryTableFieldId="4" headerRowDxfId="1781" dataDxfId="1780" totalsRowDxfId="1779" headerRowCellStyle="Normal 2" dataCellStyle="Normal 2"/>
    <tableColumn id="5" uniqueName="5" name="NOT_STATED" totalsRowFunction="sum" queryTableFieldId="5" headerRowDxfId="1778" dataDxfId="1777" totalsRowDxfId="1776" headerRowCellStyle="Normal 2" dataCellStyle="Normal 2"/>
    <tableColumn id="6" uniqueName="6" name="TOTAL" totalsRowFunction="sum" queryTableFieldId="6" headerRowDxfId="1775" dataDxfId="1774" totalsRowDxfId="1773" headerRowCellStyle="Normal 2" dataCellStyle="Normal 2"/>
    <tableColumn id="7" uniqueName="7" name="AGE_LEVEL_HUSBD_ENG" totalsRowLabel="Total" queryTableFieldId="7" headerRowDxfId="1772" dataDxfId="1771" totalsRowDxfId="1770" headerRowCellStyle="Normal 2" dataCellStyle="Normal 2"/>
  </tableColumns>
  <tableStyleInfo name="VITAL" showFirstColumn="0" showLastColumn="0" showRowStripes="1" showColumnStripes="0"/>
</table>
</file>

<file path=xl/tables/table19.xml><?xml version="1.0" encoding="utf-8"?>
<table xmlns="http://schemas.openxmlformats.org/spreadsheetml/2006/main" id="17" name="Table_Default__XLS_TAB_14_2" displayName="Table_Default__XLS_TAB_14_2" ref="A9:G20" tableType="queryTable" headerRowCount="0" totalsRowCount="1" headerRowDxfId="1769" dataDxfId="1768" totalsRowDxfId="1766" tableBorderDxfId="1767" totalsRowBorderDxfId="1765" dataCellStyle="Normal 2" totalsRowCellStyle="Normal 2">
  <tableColumns count="7">
    <tableColumn id="1" uniqueName="1" name="AGE_LEVEL_HUSBD_ARB" totalsRowLabel="المجموع" queryTableFieldId="1" headerRowDxfId="1764" dataDxfId="1763" totalsRowDxfId="1762" headerRowCellStyle="Normal 2" dataCellStyle="Normal 2"/>
    <tableColumn id="2" uniqueName="2" name="NOT_MARRIED" totalsRowFunction="sum" queryTableFieldId="2" headerRowDxfId="1761" dataDxfId="1760" totalsRowDxfId="1759" headerRowCellStyle="Normal 2" dataCellStyle="Normal 2"/>
    <tableColumn id="3" uniqueName="3" name="DIVORCES" totalsRowFunction="sum" queryTableFieldId="3" headerRowDxfId="1758" dataDxfId="1757" totalsRowDxfId="1756" headerRowCellStyle="Normal 2" dataCellStyle="Normal 2"/>
    <tableColumn id="4" uniqueName="4" name="WIDOWED" totalsRowFunction="sum" queryTableFieldId="4" headerRowDxfId="1755" dataDxfId="1754" totalsRowDxfId="1753" headerRowCellStyle="Normal 2" dataCellStyle="Normal 2"/>
    <tableColumn id="5" uniqueName="5" name="NOT_STATED" totalsRowFunction="sum" queryTableFieldId="5" headerRowDxfId="1752" dataDxfId="1751" totalsRowDxfId="1750" headerRowCellStyle="Normal 2" dataCellStyle="Normal 2"/>
    <tableColumn id="6" uniqueName="6" name="TOTAL" totalsRowFunction="sum" queryTableFieldId="6" headerRowDxfId="1749" dataDxfId="1748" totalsRowDxfId="1747" headerRowCellStyle="Normal 2" dataCellStyle="Normal 2"/>
    <tableColumn id="7" uniqueName="7" name="AGE_LEVEL_HUSBD_ENG" totalsRowLabel="Total" queryTableFieldId="7" headerRowDxfId="1746" dataDxfId="1745" totalsRowDxfId="1744" headerRowCellStyle="Normal 2" dataCellStyle="Normal 2"/>
  </tableColumns>
  <tableStyleInfo name="VITAL" showFirstColumn="0" showLastColumn="0" showRowStripes="1" showColumnStripes="0"/>
</table>
</file>

<file path=xl/tables/table2.xml><?xml version="1.0" encoding="utf-8"?>
<table xmlns="http://schemas.openxmlformats.org/spreadsheetml/2006/main" id="41" name="Table_Default__XLS_TAB_2" displayName="Table_Default__XLS_TAB_2" ref="A9:N13" tableType="queryTable" headerRowCount="0" totalsRowShown="0" headerRowDxfId="2307" tableBorderDxfId="2306" totalsRowBorderDxfId="2305" headerRowCellStyle="Normal 2">
  <tableColumns count="14">
    <tableColumn id="1" uniqueName="1" name="YEAR_AR" queryTableFieldId="1" headerRowDxfId="2304" dataDxfId="2303" headerRowCellStyle="Normal 2"/>
    <tableColumn id="2" uniqueName="2" name="M_QTRI_COUNT" queryTableFieldId="2" headerRowDxfId="2302" dataDxfId="2301" headerRowCellStyle="Normal 2"/>
    <tableColumn id="3" uniqueName="3" name="M_NQTRI_COUNT" queryTableFieldId="3" headerRowDxfId="2300" dataDxfId="2299" headerRowCellStyle="Normal 2"/>
    <tableColumn id="4" uniqueName="4" name="M_QTRI_TOT_COUNT" queryTableFieldId="4" headerRowDxfId="2298" dataDxfId="2297" headerRowCellStyle="Normal 2"/>
    <tableColumn id="5" uniqueName="5" name="M_QTRI_W_COUNT" queryTableFieldId="5" headerRowDxfId="2296" dataDxfId="2295" headerRowCellStyle="Normal 2"/>
    <tableColumn id="6" uniqueName="6" name="M_NQTRI_W_COUNT" queryTableFieldId="6" headerRowDxfId="2294" dataDxfId="2293" headerRowCellStyle="Normal 2"/>
    <tableColumn id="7" uniqueName="7" name="M_QTRI_TOT_COUNT2" queryTableFieldId="7" headerRowDxfId="2292" dataDxfId="2291" headerRowCellStyle="Normal 2"/>
    <tableColumn id="8" uniqueName="8" name="D_QTRI_COUNT" queryTableFieldId="8" headerRowDxfId="2290" dataDxfId="2289" headerRowCellStyle="Normal 2"/>
    <tableColumn id="9" uniqueName="9" name="D_NQTRI_COUNT" queryTableFieldId="9" headerRowDxfId="2288" dataDxfId="2287" headerRowCellStyle="Normal 2"/>
    <tableColumn id="10" uniqueName="10" name="D_QTRI_TOT_COUNT" queryTableFieldId="10" headerRowDxfId="2286" dataDxfId="2285" headerRowCellStyle="Normal 2"/>
    <tableColumn id="11" uniqueName="11" name="D_QTRI_W_COUNT" queryTableFieldId="11" headerRowDxfId="2284" dataDxfId="2283" headerRowCellStyle="Normal 2"/>
    <tableColumn id="12" uniqueName="12" name="D_NQTRI_W_COUNT" queryTableFieldId="12" headerRowDxfId="2282" dataDxfId="2281" headerRowCellStyle="Normal 2"/>
    <tableColumn id="13" uniqueName="13" name="D_QTRI_TOT_COUNT3" queryTableFieldId="13" headerRowDxfId="2280" dataDxfId="2279" headerRowCellStyle="Normal 2"/>
    <tableColumn id="14" uniqueName="14" name="YEAR_ENG" queryTableFieldId="14" headerRowDxfId="2278" dataDxfId="2277" headerRowCellStyle="Normal 2"/>
  </tableColumns>
  <tableStyleInfo name="VITAL" showFirstColumn="0" showLastColumn="0" showRowStripes="1" showColumnStripes="0"/>
</table>
</file>

<file path=xl/tables/table20.xml><?xml version="1.0" encoding="utf-8"?>
<table xmlns="http://schemas.openxmlformats.org/spreadsheetml/2006/main" id="18" name="Table_Default__XLS_TAB_14_3" displayName="Table_Default__XLS_TAB_14_3" ref="A9:G20" tableType="queryTable" headerRowCount="0" totalsRowCount="1" headerRowDxfId="1743" dataDxfId="1742" totalsRowDxfId="1740" tableBorderDxfId="1741" totalsRowBorderDxfId="1739" dataCellStyle="Normal 2" totalsRowCellStyle="Normal 2">
  <tableColumns count="7">
    <tableColumn id="1" uniqueName="1" name="AGE_LEVEL_HUSBD_ARB" totalsRowLabel="المجموع" queryTableFieldId="1" headerRowDxfId="1738" dataDxfId="1737" totalsRowDxfId="1736" headerRowCellStyle="Normal 2" dataCellStyle="Normal 2"/>
    <tableColumn id="2" uniqueName="2" name="NOT_MARRIED" totalsRowFunction="sum" queryTableFieldId="2" headerRowDxfId="1735" dataDxfId="1734" totalsRowDxfId="1733" headerRowCellStyle="Normal 2" dataCellStyle="Normal 2"/>
    <tableColumn id="3" uniqueName="3" name="DIVORCES" totalsRowFunction="sum" queryTableFieldId="3" headerRowDxfId="1732" dataDxfId="1731" totalsRowDxfId="1730" headerRowCellStyle="Normal 2" dataCellStyle="Normal 2"/>
    <tableColumn id="4" uniqueName="4" name="WIDOWED" totalsRowFunction="sum" queryTableFieldId="4" headerRowDxfId="1729" dataDxfId="1728" totalsRowDxfId="1727" headerRowCellStyle="Normal 2" dataCellStyle="Normal 2"/>
    <tableColumn id="5" uniqueName="5" name="NOT_STATED" totalsRowFunction="sum" queryTableFieldId="5" headerRowDxfId="1726" dataDxfId="1725" totalsRowDxfId="1724" headerRowCellStyle="Normal 2" dataCellStyle="Normal 2"/>
    <tableColumn id="6" uniqueName="6" name="TOTAL" totalsRowFunction="sum" queryTableFieldId="6" headerRowDxfId="1723" dataDxfId="1722" totalsRowDxfId="1721" headerRowCellStyle="Normal 2" dataCellStyle="Normal 2"/>
    <tableColumn id="7" uniqueName="7" name="AGE_LEVEL_HUSBD_ENG" totalsRowLabel="Total" queryTableFieldId="7" headerRowDxfId="1720" dataDxfId="1719" totalsRowDxfId="1718" headerRowCellStyle="Normal 2" dataCellStyle="Normal 2"/>
  </tableColumns>
  <tableStyleInfo name="VITAL" showFirstColumn="0" showLastColumn="0" showRowStripes="1" showColumnStripes="0"/>
</table>
</file>

<file path=xl/tables/table21.xml><?xml version="1.0" encoding="utf-8"?>
<table xmlns="http://schemas.openxmlformats.org/spreadsheetml/2006/main" id="19" name="Table_Default__XLS_TAB_15_1" displayName="Table_Default__XLS_TAB_15_1" ref="A8:F18" tableType="queryTable" headerRowCount="0" totalsRowCount="1" headerRowDxfId="1717" dataDxfId="1716" totalsRowDxfId="1715" totalsRowBorderDxfId="1714">
  <tableColumns count="6">
    <tableColumn id="1" uniqueName="1" name="AGE_LEVEL_ARB" totalsRowLabel="المجموع" queryTableFieldId="1" headerRowDxfId="1713" dataDxfId="1712" totalsRowDxfId="1711" headerRowCellStyle="Normal 2" dataCellStyle="Normal 2"/>
    <tableColumn id="2" uniqueName="2" name="HUSBD_CNT" totalsRowFunction="sum" queryTableFieldId="2" headerRowDxfId="1710" dataDxfId="1709" totalsRowDxfId="1708" headerRowCellStyle="Normal 2" dataCellStyle="Normal 2"/>
    <tableColumn id="3" uniqueName="3" name="WIFE_CNT" totalsRowFunction="sum" queryTableFieldId="3" headerRowDxfId="1707" dataDxfId="1706" totalsRowDxfId="1705" headerRowCellStyle="Normal 2" dataCellStyle="Normal 2"/>
    <tableColumn id="4" uniqueName="4" name="TOTAL" totalsRowFunction="sum" queryTableFieldId="4" headerRowDxfId="1704" dataDxfId="1703" totalsRowDxfId="1702" headerRowCellStyle="Normal 2" dataCellStyle="Normal 2"/>
    <tableColumn id="5" uniqueName="5" name="PSTG" totalsRowFunction="sum" queryTableFieldId="5" headerRowDxfId="1701" dataDxfId="1700" totalsRowDxfId="1699" headerRowCellStyle="Normal 2" dataCellStyle="Normal 2"/>
    <tableColumn id="6" uniqueName="6" name="AGE_LEVEL_ENG" totalsRowLabel="Total" queryTableFieldId="6" headerRowDxfId="1698" dataDxfId="1697" totalsRowDxfId="1696" headerRowCellStyle="Normal 2" dataCellStyle="Normal 2"/>
  </tableColumns>
  <tableStyleInfo name="VITAL" showFirstColumn="0" showLastColumn="0" showRowStripes="1" showColumnStripes="0"/>
</table>
</file>

<file path=xl/tables/table22.xml><?xml version="1.0" encoding="utf-8"?>
<table xmlns="http://schemas.openxmlformats.org/spreadsheetml/2006/main" id="20" name="Table_Default__XLS_TAB_15_2" displayName="Table_Default__XLS_TAB_15_2" ref="A8:F18" tableType="queryTable" headerRowCount="0" totalsRowCount="1" totalsRowDxfId="1693" headerRowBorderDxfId="1695" tableBorderDxfId="1694" totalsRowBorderDxfId="1692">
  <tableColumns count="6">
    <tableColumn id="1" uniqueName="1" name="AGE_LEVEL_ARB" totalsRowLabel="المجموع" queryTableFieldId="1" headerRowDxfId="1691" dataDxfId="1690" totalsRowDxfId="1689" headerRowCellStyle="Normal 2" dataCellStyle="Normal 2"/>
    <tableColumn id="2" uniqueName="2" name="HUSBD_CNT" totalsRowFunction="sum" queryTableFieldId="2" headerRowDxfId="1688" dataDxfId="1687" totalsRowDxfId="1686" headerRowCellStyle="Normal 2" dataCellStyle="Normal 2"/>
    <tableColumn id="3" uniqueName="3" name="WIFE_CNT" totalsRowFunction="sum" queryTableFieldId="3" headerRowDxfId="1685" dataDxfId="1684" totalsRowDxfId="1683" headerRowCellStyle="Normal 2" dataCellStyle="Normal 2"/>
    <tableColumn id="4" uniqueName="4" name="TOTAL" totalsRowFunction="sum" queryTableFieldId="4" headerRowDxfId="1682" dataDxfId="1681" totalsRowDxfId="1680" headerRowCellStyle="Normal 2" dataCellStyle="Normal 2"/>
    <tableColumn id="5" uniqueName="5" name="PSTG" totalsRowFunction="sum" queryTableFieldId="5" headerRowDxfId="1679" dataDxfId="1678" totalsRowDxfId="1677" headerRowCellStyle="Normal 2" dataCellStyle="Normal 2"/>
    <tableColumn id="6" uniqueName="6" name="AGE_LEVEL_ENG" totalsRowLabel="Total" queryTableFieldId="6" headerRowDxfId="1676" dataDxfId="1675" totalsRowDxfId="1674" headerRowCellStyle="Normal 2" dataCellStyle="Normal 2"/>
  </tableColumns>
  <tableStyleInfo name="VITAL" showFirstColumn="0" showLastColumn="0" showRowStripes="1" showColumnStripes="0"/>
</table>
</file>

<file path=xl/tables/table23.xml><?xml version="1.0" encoding="utf-8"?>
<table xmlns="http://schemas.openxmlformats.org/spreadsheetml/2006/main" id="21" name="Table_Default__XLS_TAB_15_3" displayName="Table_Default__XLS_TAB_15_3" ref="A8:F18" tableType="queryTable" headerRowCount="0" totalsRowCount="1" totalsRowDxfId="1671" headerRowBorderDxfId="1673" tableBorderDxfId="1672" totalsRowBorderDxfId="1670">
  <tableColumns count="6">
    <tableColumn id="1" uniqueName="1" name="AGE_LEVEL_ARB" totalsRowLabel="المجموع" queryTableFieldId="1" headerRowDxfId="1669" dataDxfId="1668" totalsRowDxfId="1667" headerRowCellStyle="Normal 2" dataCellStyle="Normal 2"/>
    <tableColumn id="2" uniqueName="2" name="HUSBD_CNT" totalsRowFunction="sum" queryTableFieldId="2" headerRowDxfId="1666" dataDxfId="1665" totalsRowDxfId="1664" headerRowCellStyle="Normal 2" dataCellStyle="Normal 2"/>
    <tableColumn id="3" uniqueName="3" name="WIFE_CNT" totalsRowFunction="sum" queryTableFieldId="3" headerRowDxfId="1663" dataDxfId="1662" totalsRowDxfId="1661" headerRowCellStyle="Normal 2" dataCellStyle="Normal 2"/>
    <tableColumn id="4" uniqueName="4" name="TOTAL" totalsRowFunction="sum" queryTableFieldId="4" headerRowDxfId="1660" dataDxfId="1659" totalsRowDxfId="1658" headerRowCellStyle="Normal 2" dataCellStyle="Normal 2"/>
    <tableColumn id="5" uniqueName="5" name="PSTG" totalsRowFunction="sum" queryTableFieldId="5" headerRowDxfId="1657" dataDxfId="1656" totalsRowDxfId="1655" headerRowCellStyle="Normal 2" dataCellStyle="Normal 2"/>
    <tableColumn id="6" uniqueName="6" name="AGE_LEVEL_ENG" totalsRowLabel="Total" queryTableFieldId="6" headerRowDxfId="1654" dataDxfId="1653" totalsRowDxfId="1652" headerRowCellStyle="Normal 2" dataCellStyle="Normal 2"/>
  </tableColumns>
  <tableStyleInfo name="VITAL" showFirstColumn="0" showLastColumn="0" showRowStripes="1" showColumnStripes="0"/>
</table>
</file>

<file path=xl/tables/table24.xml><?xml version="1.0" encoding="utf-8"?>
<table xmlns="http://schemas.openxmlformats.org/spreadsheetml/2006/main" id="22" name="Table_Default__XLS_TAB_16_1" displayName="Table_Default__XLS_TAB_16_1" ref="B9:J17" tableType="queryTable" headerRowCount="0" totalsRowCount="1" headerRowDxfId="1651" dataDxfId="1650" totalsRowDxfId="1649" totalsRowBorderDxfId="1648">
  <tableColumns count="9">
    <tableColumn id="1" uniqueName="1" name="ILLITERATE_CNT" totalsRowFunction="sum" queryTableFieldId="1" headerRowDxfId="1647" dataDxfId="1646" totalsRowDxfId="1645" headerRowCellStyle="Normal 2" dataCellStyle="Normal 2"/>
    <tableColumn id="2" uniqueName="2" name="READ_AND_WRITE_CNT" totalsRowFunction="sum" queryTableFieldId="2" headerRowDxfId="1644" dataDxfId="1643" totalsRowDxfId="1642" headerRowCellStyle="Normal 2" dataCellStyle="Normal 2"/>
    <tableColumn id="3" uniqueName="3" name="PRIMARY_CNT" totalsRowFunction="sum" queryTableFieldId="3" headerRowDxfId="1641" dataDxfId="1640" totalsRowDxfId="1639" headerRowCellStyle="Normal 2" dataCellStyle="Normal 2"/>
    <tableColumn id="4" uniqueName="4" name="PREPARATORY_CNT" totalsRowFunction="sum" queryTableFieldId="4" headerRowDxfId="1638" dataDxfId="1637" totalsRowDxfId="1636" headerRowCellStyle="Normal 2" dataCellStyle="Normal 2"/>
    <tableColumn id="5" uniqueName="5" name="SECONDARY_CNT" totalsRowFunction="sum" queryTableFieldId="5" headerRowDxfId="1635" dataDxfId="1634" totalsRowDxfId="1633" headerRowCellStyle="Normal 2" dataCellStyle="Normal 2"/>
    <tableColumn id="6" uniqueName="6" name="PRE_UNIVERSITY_CNT" totalsRowFunction="sum" queryTableFieldId="6" headerRowDxfId="1632" dataDxfId="1631" totalsRowDxfId="1630" headerRowCellStyle="Normal 2" dataCellStyle="Normal 2"/>
    <tableColumn id="7" uniqueName="7" name="UNIV_ABOVE_CNT" totalsRowFunction="sum" queryTableFieldId="7" headerRowDxfId="1629" dataDxfId="1628" totalsRowDxfId="1627" headerRowCellStyle="Normal 2" dataCellStyle="Normal 2"/>
    <tableColumn id="8" uniqueName="8" name="NOT_STATED_CNT" totalsRowFunction="sum" queryTableFieldId="8" headerRowDxfId="1626" dataDxfId="1625" totalsRowDxfId="1624" headerRowCellStyle="Normal 2" dataCellStyle="Normal 2"/>
    <tableColumn id="9" uniqueName="9" name="TOTAL" totalsRowFunction="sum" queryTableFieldId="9" headerRowDxfId="1623" dataDxfId="1622" totalsRowDxfId="1621" headerRowCellStyle="Normal 2" dataCellStyle="Normal 2"/>
  </tableColumns>
  <tableStyleInfo name="VITAL" showFirstColumn="0" showLastColumn="0" showRowStripes="1" showColumnStripes="0"/>
</table>
</file>

<file path=xl/tables/table25.xml><?xml version="1.0" encoding="utf-8"?>
<table xmlns="http://schemas.openxmlformats.org/spreadsheetml/2006/main" id="23" name="Table_Default__XLS_TAB_16_2" displayName="Table_Default__XLS_TAB_16_2" ref="B9:J17" tableType="queryTable" headerRowCount="0" totalsRowCount="1" headerRowDxfId="1620" dataDxfId="1619" totalsRowDxfId="1617" tableBorderDxfId="1618" totalsRowBorderDxfId="1616" headerRowCellStyle="Normal 2" dataCellStyle="Normal 2">
  <tableColumns count="9">
    <tableColumn id="1" uniqueName="1" name="ILLITERATE_CNT" totalsRowFunction="sum" queryTableFieldId="1" headerRowDxfId="1615" dataDxfId="1614" totalsRowDxfId="1613" headerRowCellStyle="Normal 2" dataCellStyle="Normal 2"/>
    <tableColumn id="2" uniqueName="2" name="READ_AND_WRITE_CNT" totalsRowFunction="sum" queryTableFieldId="2" headerRowDxfId="1612" dataDxfId="1611" totalsRowDxfId="1610" headerRowCellStyle="Normal 2" dataCellStyle="Normal 2"/>
    <tableColumn id="3" uniqueName="3" name="PRIMARY_CNT" totalsRowFunction="sum" queryTableFieldId="3" headerRowDxfId="1609" dataDxfId="1608" totalsRowDxfId="1607" headerRowCellStyle="Normal 2" dataCellStyle="Normal 2"/>
    <tableColumn id="4" uniqueName="4" name="PREPARATORY_CNT" totalsRowFunction="sum" queryTableFieldId="4" headerRowDxfId="1606" dataDxfId="1605" totalsRowDxfId="1604" headerRowCellStyle="Normal 2" dataCellStyle="Normal 2"/>
    <tableColumn id="5" uniqueName="5" name="SECONDARY_CNT" totalsRowFunction="sum" queryTableFieldId="5" headerRowDxfId="1603" dataDxfId="1602" totalsRowDxfId="1601" headerRowCellStyle="Normal 2" dataCellStyle="Normal 2"/>
    <tableColumn id="6" uniqueName="6" name="PRE_UNIVERSITY_CNT" totalsRowFunction="sum" queryTableFieldId="6" headerRowDxfId="1600" dataDxfId="1599" totalsRowDxfId="1598" headerRowCellStyle="Normal 2" dataCellStyle="Normal 2"/>
    <tableColumn id="7" uniqueName="7" name="UNIV_ABOVE_CNT" totalsRowFunction="sum" queryTableFieldId="7" headerRowDxfId="1597" dataDxfId="1596" totalsRowDxfId="1595" headerRowCellStyle="Normal 2" dataCellStyle="Normal 2"/>
    <tableColumn id="8" uniqueName="8" name="NOT_STATED_CNT" totalsRowFunction="sum" queryTableFieldId="8" headerRowDxfId="1594" dataDxfId="1593" totalsRowDxfId="1592" headerRowCellStyle="Normal 2" dataCellStyle="Normal 2"/>
    <tableColumn id="9" uniqueName="9" name="TOTAL" totalsRowFunction="sum" queryTableFieldId="9" headerRowDxfId="1591" dataDxfId="1590" totalsRowDxfId="1589" headerRowCellStyle="Normal 2" dataCellStyle="Normal 2"/>
  </tableColumns>
  <tableStyleInfo name="VITAL" showFirstColumn="0" showLastColumn="0" showRowStripes="1" showColumnStripes="0"/>
</table>
</file>

<file path=xl/tables/table26.xml><?xml version="1.0" encoding="utf-8"?>
<table xmlns="http://schemas.openxmlformats.org/spreadsheetml/2006/main" id="24" name="Table_Default__XLS_TAB_16_3" displayName="Table_Default__XLS_TAB_16_3" ref="B9:J17" tableType="queryTable" headerRowCount="0" totalsRowCount="1" headerRowDxfId="1588" dataDxfId="1587" totalsRowDxfId="1585" tableBorderDxfId="1586" totalsRowBorderDxfId="1584" dataCellStyle="Normal 2">
  <tableColumns count="9">
    <tableColumn id="1" uniqueName="1" name="ILLITERATE_CNT" totalsRowFunction="sum" queryTableFieldId="1" headerRowDxfId="1583" dataDxfId="1582" totalsRowDxfId="1581" headerRowCellStyle="Normal 2" dataCellStyle="Normal 2"/>
    <tableColumn id="2" uniqueName="2" name="READ_AND_WRITE_CNT" totalsRowFunction="sum" queryTableFieldId="2" headerRowDxfId="1580" dataDxfId="1579" totalsRowDxfId="1578" headerRowCellStyle="Normal 2" dataCellStyle="Normal 2"/>
    <tableColumn id="3" uniqueName="3" name="PRIMARY_CNT" totalsRowFunction="sum" queryTableFieldId="3" headerRowDxfId="1577" dataDxfId="1576" totalsRowDxfId="1575" headerRowCellStyle="Normal 2" dataCellStyle="Normal 2"/>
    <tableColumn id="4" uniqueName="4" name="PREPARATORY_CNT" totalsRowFunction="sum" queryTableFieldId="4" headerRowDxfId="1574" dataDxfId="1573" totalsRowDxfId="1572" headerRowCellStyle="Normal 2" dataCellStyle="Normal 2"/>
    <tableColumn id="5" uniqueName="5" name="SECONDARY_CNT" totalsRowFunction="sum" queryTableFieldId="5" headerRowDxfId="1571" dataDxfId="1570" totalsRowDxfId="1569" headerRowCellStyle="Normal 2" dataCellStyle="Normal 2"/>
    <tableColumn id="6" uniqueName="6" name="PRE_UNIVERSITY_CNT" totalsRowFunction="sum" queryTableFieldId="6" headerRowDxfId="1568" dataDxfId="1567" totalsRowDxfId="1566" headerRowCellStyle="Normal 2" dataCellStyle="Normal 2"/>
    <tableColumn id="7" uniqueName="7" name="UNIV_ABOVE_CNT" totalsRowFunction="sum" queryTableFieldId="7" headerRowDxfId="1565" dataDxfId="1564" totalsRowDxfId="1563" headerRowCellStyle="Normal 2" dataCellStyle="Normal 2"/>
    <tableColumn id="8" uniqueName="8" name="NOT_STATED_CNT" totalsRowFunction="sum" queryTableFieldId="8" headerRowDxfId="1562" dataDxfId="1561" totalsRowDxfId="1560" headerRowCellStyle="Normal 2" dataCellStyle="Normal 2"/>
    <tableColumn id="9" uniqueName="9" name="TOTAL" totalsRowFunction="sum" queryTableFieldId="9" headerRowDxfId="1559" dataDxfId="1558" totalsRowDxfId="1557" headerRowCellStyle="Normal 2" dataCellStyle="Normal 2"/>
  </tableColumns>
  <tableStyleInfo name="VITAL" showFirstColumn="0" showLastColumn="0" showRowStripes="1" showColumnStripes="0"/>
</table>
</file>

<file path=xl/tables/table27.xml><?xml version="1.0" encoding="utf-8"?>
<table xmlns="http://schemas.openxmlformats.org/spreadsheetml/2006/main" id="25" name="Table_Default__XLS_TAB_17_1" displayName="Table_Default__XLS_TAB_17_1" ref="A10:O22" tableType="queryTable" headerRowCount="0" totalsRowCount="1" headerRowDxfId="1556" totalsRowDxfId="1554" tableBorderDxfId="1555" totalsRowBorderDxfId="1553" totalsRowCellStyle="Normal 2">
  <tableColumns count="15">
    <tableColumn id="1" uniqueName="1" name="JOB_ARB" totalsRowLabel="المجموع العام  " queryTableFieldId="1" headerRowDxfId="1552" dataDxfId="1551" totalsRowDxfId="1550" headerRowCellStyle="Normal 2" dataCellStyle="Normal 2"/>
    <tableColumn id="2" uniqueName="2" name="LEGISLATORS_CNT" totalsRowFunction="custom" queryTableFieldId="2" headerRowDxfId="1549" dataDxfId="1548" totalsRowDxfId="1547" headerRowCellStyle="Normal 2" dataCellStyle="Normal 2">
      <totalsRowFormula>(SUM(B20+B21))</totalsRowFormula>
    </tableColumn>
    <tableColumn id="3" uniqueName="3" name="PROFESSIONALS_CNT" totalsRowFunction="custom" queryTableFieldId="3" headerRowDxfId="1546" dataDxfId="1545" totalsRowDxfId="1544" headerRowCellStyle="Normal 2" dataCellStyle="Normal 2">
      <totalsRowFormula>(SUM(C20+C21))</totalsRowFormula>
    </tableColumn>
    <tableColumn id="4" uniqueName="4" name="TECHNICIANS_CNT" totalsRowFunction="custom" queryTableFieldId="4" headerRowDxfId="1543" dataDxfId="1542" totalsRowDxfId="1541" headerRowCellStyle="Normal 2" dataCellStyle="Normal 2">
      <totalsRowFormula>(SUM(D20+D21))</totalsRowFormula>
    </tableColumn>
    <tableColumn id="5" uniqueName="5" name="CLERKS_CNT" totalsRowFunction="custom" queryTableFieldId="5" headerRowDxfId="1540" dataDxfId="1539" totalsRowDxfId="1538" headerRowCellStyle="Normal 2" dataCellStyle="Normal 2">
      <totalsRowFormula>(SUM(E20+E21))</totalsRowFormula>
    </tableColumn>
    <tableColumn id="6" uniqueName="6" name="SERVICE_WORKERS_CNT" totalsRowFunction="custom" queryTableFieldId="6" headerRowDxfId="1537" dataDxfId="1536" totalsRowDxfId="1535" headerRowCellStyle="Normal 2" dataCellStyle="Normal 2">
      <totalsRowFormula>(SUM(F20+F21))</totalsRowFormula>
    </tableColumn>
    <tableColumn id="7" uniqueName="7" name="SKILLED_AGRICULTURAL_CNT" totalsRowFunction="custom" queryTableFieldId="7" headerRowDxfId="1534" dataDxfId="1533" totalsRowDxfId="1532" headerRowCellStyle="Normal 2" dataCellStyle="Normal 2">
      <totalsRowFormula>(SUM(G20+G21))</totalsRowFormula>
    </tableColumn>
    <tableColumn id="8" uniqueName="8" name="CRAFT_CNT" totalsRowFunction="custom" queryTableFieldId="8" headerRowDxfId="1531" dataDxfId="1530" totalsRowDxfId="1529" headerRowCellStyle="Normal 2" dataCellStyle="Normal 2">
      <totalsRowFormula>(SUM(H20+H21))</totalsRowFormula>
    </tableColumn>
    <tableColumn id="9" uniqueName="9" name="PLANT_CNT" totalsRowFunction="custom" queryTableFieldId="9" headerRowDxfId="1528" dataDxfId="1527" totalsRowDxfId="1526" headerRowCellStyle="Normal 2" dataCellStyle="Normal 2">
      <totalsRowFormula>(SUM(I20+I21))</totalsRowFormula>
    </tableColumn>
    <tableColumn id="10" uniqueName="10" name="ELEMENTARY_OCCUPATIONS_CNT" totalsRowFunction="custom" queryTableFieldId="10" headerRowDxfId="1525" dataDxfId="1524" totalsRowDxfId="1523" headerRowCellStyle="Normal 2" dataCellStyle="Normal 2">
      <totalsRowFormula>(SUM(J20+J21))</totalsRowFormula>
    </tableColumn>
    <tableColumn id="11" uniqueName="11" name="NOT_KNOWN_CNT" totalsRowFunction="custom" queryTableFieldId="11" headerRowDxfId="1522" dataDxfId="1521" totalsRowDxfId="1520" headerRowCellStyle="Normal 2" dataCellStyle="Normal 2">
      <totalsRowFormula>(SUM(K20+K21))</totalsRowFormula>
    </tableColumn>
    <tableColumn id="12" uniqueName="12" name="TOTAL" totalsRowFunction="custom" queryTableFieldId="12" headerRowDxfId="1519" dataDxfId="1518" totalsRowDxfId="1517" headerRowCellStyle="Normal 2" dataCellStyle="Normal 2">
      <totalsRowFormula>(SUM(L20+L21))</totalsRowFormula>
    </tableColumn>
    <tableColumn id="13" uniqueName="13" name="NO_OCCUP" totalsRowFunction="custom" queryTableFieldId="13" headerRowDxfId="1516" dataDxfId="1515" totalsRowDxfId="1514" headerRowCellStyle="Normal 2" dataCellStyle="Normal 2">
      <totalsRowFormula>(SUM(M20+M21))</totalsRowFormula>
    </tableColumn>
    <tableColumn id="14" uniqueName="14" name="GRND_TOTAL" totalsRowFunction="custom" queryTableFieldId="14" headerRowDxfId="1513" dataDxfId="1512" totalsRowDxfId="1511" headerRowCellStyle="Normal 2" dataCellStyle="Normal 2">
      <totalsRowFormula>(SUM(N20+N21))</totalsRowFormula>
    </tableColumn>
    <tableColumn id="15" uniqueName="15" name="JOB_ENG" totalsRowLabel="Grand Total  " queryTableFieldId="15" headerRowDxfId="1510" dataDxfId="1509" totalsRowDxfId="1508" headerRowCellStyle="Normal 2" dataCellStyle="Normal 2"/>
  </tableColumns>
  <tableStyleInfo name="VITAL" showFirstColumn="0" showLastColumn="0" showRowStripes="1" showColumnStripes="0"/>
</table>
</file>

<file path=xl/tables/table28.xml><?xml version="1.0" encoding="utf-8"?>
<table xmlns="http://schemas.openxmlformats.org/spreadsheetml/2006/main" id="26" name="Table_Default__XLS_TAB_17_2" displayName="Table_Default__XLS_TAB_17_2" ref="A10:O22" tableType="queryTable" headerRowCount="0" totalsRowCount="1" dataDxfId="1507" totalsRowDxfId="1505" tableBorderDxfId="1506" totalsRowBorderDxfId="1504" dataCellStyle="Normal 2">
  <tableColumns count="15">
    <tableColumn id="1" uniqueName="1" name="JOB_ARB" totalsRowLabel="المجموع العام  " queryTableFieldId="1" headerRowDxfId="1503" dataDxfId="1502" totalsRowDxfId="1501" headerRowCellStyle="Normal 2" dataCellStyle="Normal 2"/>
    <tableColumn id="2" uniqueName="2" name="LEGISLATORS_CNT" totalsRowFunction="custom" queryTableFieldId="2" headerRowDxfId="1500" dataDxfId="1499" totalsRowDxfId="1498" headerRowCellStyle="Normal 2" dataCellStyle="Normal 2">
      <totalsRowFormula>SUM(B20+B21)</totalsRowFormula>
    </tableColumn>
    <tableColumn id="3" uniqueName="3" name="PROFESSIONALS_CNT" totalsRowFunction="custom" queryTableFieldId="3" headerRowDxfId="1497" dataDxfId="1496" totalsRowDxfId="1495" headerRowCellStyle="Normal 2" dataCellStyle="Normal 2">
      <totalsRowFormula>SUM(C20+C21)</totalsRowFormula>
    </tableColumn>
    <tableColumn id="4" uniqueName="4" name="TECHNICIANS_CNT" totalsRowFunction="custom" queryTableFieldId="4" headerRowDxfId="1494" dataDxfId="1493" totalsRowDxfId="1492" headerRowCellStyle="Normal 2" dataCellStyle="Normal 2">
      <totalsRowFormula>SUM(D20+D21)</totalsRowFormula>
    </tableColumn>
    <tableColumn id="5" uniqueName="5" name="CLERKS_CNT" totalsRowFunction="custom" queryTableFieldId="5" headerRowDxfId="1491" dataDxfId="1490" totalsRowDxfId="1489" headerRowCellStyle="Normal 2" dataCellStyle="Normal 2">
      <totalsRowFormula>SUM(E20+E21)</totalsRowFormula>
    </tableColumn>
    <tableColumn id="6" uniqueName="6" name="SERVICE_WORKERS_CNT" totalsRowFunction="custom" queryTableFieldId="6" headerRowDxfId="1488" dataDxfId="1487" totalsRowDxfId="1486" headerRowCellStyle="Normal 2" dataCellStyle="Normal 2">
      <totalsRowFormula>SUM(F20+F21)</totalsRowFormula>
    </tableColumn>
    <tableColumn id="7" uniqueName="7" name="SKILLED_AGRICULTURAL_CNT" totalsRowFunction="custom" queryTableFieldId="7" headerRowDxfId="1485" dataDxfId="1484" totalsRowDxfId="1483" headerRowCellStyle="Normal 2" dataCellStyle="Normal 2">
      <totalsRowFormula>SUM(G20+G21)</totalsRowFormula>
    </tableColumn>
    <tableColumn id="8" uniqueName="8" name="CRAFT_CNT" totalsRowFunction="custom" queryTableFieldId="8" headerRowDxfId="1482" dataDxfId="1481" totalsRowDxfId="1480" headerRowCellStyle="Normal 2" dataCellStyle="Normal 2">
      <totalsRowFormula>SUM(H20+H21)</totalsRowFormula>
    </tableColumn>
    <tableColumn id="9" uniqueName="9" name="PLANT_CNT" totalsRowFunction="custom" queryTableFieldId="9" headerRowDxfId="1479" dataDxfId="1478" totalsRowDxfId="1477" headerRowCellStyle="Normal 2" dataCellStyle="Normal 2">
      <totalsRowFormula>SUM(I20+I21)</totalsRowFormula>
    </tableColumn>
    <tableColumn id="10" uniqueName="10" name="ELEMENTARY_OCCUPATIONS_CNT" totalsRowFunction="custom" queryTableFieldId="10" headerRowDxfId="1476" dataDxfId="1475" totalsRowDxfId="1474" headerRowCellStyle="Normal 2" dataCellStyle="Normal 2">
      <totalsRowFormula>SUM(J20+J21)</totalsRowFormula>
    </tableColumn>
    <tableColumn id="11" uniqueName="11" name="NOT_KNOWN_CNT" totalsRowFunction="custom" queryTableFieldId="11" headerRowDxfId="1473" dataDxfId="1472" totalsRowDxfId="1471" headerRowCellStyle="Normal 2" dataCellStyle="Normal 2">
      <totalsRowFormula>SUM(K20+K21)</totalsRowFormula>
    </tableColumn>
    <tableColumn id="12" uniqueName="12" name="TOTAL" totalsRowFunction="custom" queryTableFieldId="12" headerRowDxfId="1470" dataDxfId="1469" totalsRowDxfId="1468" headerRowCellStyle="Normal 2" dataCellStyle="Normal 2">
      <totalsRowFormula>SUM(L20+L21)</totalsRowFormula>
    </tableColumn>
    <tableColumn id="13" uniqueName="13" name="NO_OCCUP" totalsRowFunction="custom" queryTableFieldId="13" headerRowDxfId="1467" dataDxfId="1466" totalsRowDxfId="1465" headerRowCellStyle="Normal 2" dataCellStyle="Normal 2">
      <totalsRowFormula>SUM(M20+M21)</totalsRowFormula>
    </tableColumn>
    <tableColumn id="14" uniqueName="14" name="GRND_TOTAL" totalsRowFunction="custom" queryTableFieldId="14" headerRowDxfId="1464" dataDxfId="1463" totalsRowDxfId="1462" headerRowCellStyle="Normal 2" dataCellStyle="Normal 2">
      <totalsRowFormula>SUM(N20+N21)</totalsRowFormula>
    </tableColumn>
    <tableColumn id="15" uniqueName="15" name="JOB_ENG" totalsRowLabel="Grand Total  " queryTableFieldId="15" headerRowDxfId="1461" dataDxfId="1460" totalsRowDxfId="1459" headerRowCellStyle="Normal 2" dataCellStyle="Normal 2"/>
  </tableColumns>
  <tableStyleInfo name="VITAL" showFirstColumn="0" showLastColumn="0" showRowStripes="1" showColumnStripes="0"/>
</table>
</file>

<file path=xl/tables/table29.xml><?xml version="1.0" encoding="utf-8"?>
<table xmlns="http://schemas.openxmlformats.org/spreadsheetml/2006/main" id="27" name="Table_Default__XLS_TAB_17_3" displayName="Table_Default__XLS_TAB_17_3" ref="A10:O22" tableType="queryTable" headerRowCount="0" totalsRowCount="1" totalsRowDxfId="1457" tableBorderDxfId="1458" totalsRowBorderDxfId="1456">
  <tableColumns count="15">
    <tableColumn id="1" uniqueName="1" name="JOB_ARB" totalsRowLabel="المجموع العام  " queryTableFieldId="1" headerRowDxfId="1455" dataDxfId="1454" totalsRowDxfId="1453" headerRowCellStyle="Normal 2" dataCellStyle="Normal 2"/>
    <tableColumn id="2" uniqueName="2" name="LEGISLATORS_CNT" totalsRowFunction="custom" queryTableFieldId="2" headerRowDxfId="1452" dataDxfId="1451" totalsRowDxfId="1450" headerRowCellStyle="Normal 2" dataCellStyle="Normal 2">
      <totalsRowFormula>B20+B21</totalsRowFormula>
    </tableColumn>
    <tableColumn id="3" uniqueName="3" name="PROFESSIONALS_CNT" totalsRowFunction="custom" queryTableFieldId="3" headerRowDxfId="1449" dataDxfId="1448" totalsRowDxfId="1447" headerRowCellStyle="Normal 2" dataCellStyle="Normal 2">
      <totalsRowFormula>C20+C21</totalsRowFormula>
    </tableColumn>
    <tableColumn id="4" uniqueName="4" name="TECHNICIANS_CNT" totalsRowFunction="custom" queryTableFieldId="4" headerRowDxfId="1446" dataDxfId="1445" totalsRowDxfId="1444" headerRowCellStyle="Normal 2" dataCellStyle="Normal 2">
      <totalsRowFormula>D20+D21</totalsRowFormula>
    </tableColumn>
    <tableColumn id="5" uniqueName="5" name="CLERKS_CNT" totalsRowFunction="custom" queryTableFieldId="5" headerRowDxfId="1443" dataDxfId="1442" totalsRowDxfId="1441" headerRowCellStyle="Normal 2" dataCellStyle="Normal 2">
      <totalsRowFormula>E20+E21</totalsRowFormula>
    </tableColumn>
    <tableColumn id="6" uniqueName="6" name="SERVICE_WORKERS_CNT" totalsRowFunction="custom" queryTableFieldId="6" headerRowDxfId="1440" dataDxfId="1439" totalsRowDxfId="1438" headerRowCellStyle="Normal 2" dataCellStyle="Normal 2">
      <totalsRowFormula>F20+F21</totalsRowFormula>
    </tableColumn>
    <tableColumn id="7" uniqueName="7" name="SKILLED_AGRICULTURAL_CNT" totalsRowFunction="custom" queryTableFieldId="7" headerRowDxfId="1437" dataDxfId="1436" totalsRowDxfId="1435" headerRowCellStyle="Normal 2" dataCellStyle="Normal 2">
      <totalsRowFormula>G20+G21</totalsRowFormula>
    </tableColumn>
    <tableColumn id="8" uniqueName="8" name="CRAFT_CNT" totalsRowFunction="custom" queryTableFieldId="8" headerRowDxfId="1434" dataDxfId="1433" totalsRowDxfId="1432" headerRowCellStyle="Normal 2" dataCellStyle="Normal 2">
      <totalsRowFormula>H20+H21</totalsRowFormula>
    </tableColumn>
    <tableColumn id="9" uniqueName="9" name="PLANT_CNT" totalsRowFunction="custom" queryTableFieldId="9" headerRowDxfId="1431" dataDxfId="1430" totalsRowDxfId="1429" headerRowCellStyle="Normal 2" dataCellStyle="Normal 2">
      <totalsRowFormula>I20+I21</totalsRowFormula>
    </tableColumn>
    <tableColumn id="10" uniqueName="10" name="ELEMENTARY_OCCUPATIONS_CNT" totalsRowFunction="custom" queryTableFieldId="10" headerRowDxfId="1428" dataDxfId="1427" totalsRowDxfId="1426" headerRowCellStyle="Normal 2" dataCellStyle="Normal 2">
      <totalsRowFormula>J20+J21</totalsRowFormula>
    </tableColumn>
    <tableColumn id="11" uniqueName="11" name="NOT_KNOWN_CNT" totalsRowFunction="custom" queryTableFieldId="11" headerRowDxfId="1425" dataDxfId="1424" totalsRowDxfId="1423" headerRowCellStyle="Normal 2" dataCellStyle="Normal 2">
      <totalsRowFormula>K20+K21</totalsRowFormula>
    </tableColumn>
    <tableColumn id="12" uniqueName="12" name="TOTAL" totalsRowFunction="custom" queryTableFieldId="12" headerRowDxfId="1422" dataDxfId="1421" totalsRowDxfId="1420" headerRowCellStyle="Normal 2" dataCellStyle="Normal 2">
      <totalsRowFormula>L20+L21</totalsRowFormula>
    </tableColumn>
    <tableColumn id="13" uniqueName="13" name="NO_OCCUP" totalsRowFunction="custom" queryTableFieldId="13" headerRowDxfId="1419" dataDxfId="1418" totalsRowDxfId="1417" headerRowCellStyle="Normal 2" dataCellStyle="Normal 2">
      <totalsRowFormula>M20+M21</totalsRowFormula>
    </tableColumn>
    <tableColumn id="14" uniqueName="14" name="GRND_TOTAL" totalsRowFunction="custom" queryTableFieldId="14" headerRowDxfId="1416" dataDxfId="1415" totalsRowDxfId="1414" headerRowCellStyle="Normal 2" dataCellStyle="Normal 2">
      <totalsRowFormula>N20+N21</totalsRowFormula>
    </tableColumn>
    <tableColumn id="15" uniqueName="15" name="JOB_ENG" totalsRowLabel="Grand Total  " queryTableFieldId="15" headerRowDxfId="1413" dataDxfId="1412" totalsRowDxfId="1411" headerRowCellStyle="Normal 2" dataCellStyle="Normal 2"/>
  </tableColumns>
  <tableStyleInfo name="VITAL" showFirstColumn="0" showLastColumn="0" showRowStripes="1" showColumnStripes="0"/>
</table>
</file>

<file path=xl/tables/table3.xml><?xml version="1.0" encoding="utf-8"?>
<table xmlns="http://schemas.openxmlformats.org/spreadsheetml/2006/main" id="3" name="Table_Default__XLS_TAB_6" displayName="Table_Default__XLS_TAB_6" ref="A8:E17" tableType="queryTable" headerRowCount="0" totalsRowCount="1" headerRowDxfId="2276" totalsRowDxfId="2275" headerRowCellStyle="Normal 2">
  <tableColumns count="5">
    <tableColumn id="1" uniqueName="1" name="AREA_AR" totalsRowLabel="المجموع" queryTableFieldId="1" headerRowDxfId="2274" dataDxfId="2273" totalsRowDxfId="2272" headerRowCellStyle="Normal 2" dataCellStyle="TXT1"/>
    <tableColumn id="2" uniqueName="2" name="M_QTRI_COUNT" totalsRowFunction="sum" queryTableFieldId="2" headerRowDxfId="2271" dataDxfId="2270" totalsRowDxfId="2269" headerRowCellStyle="Normal 2" dataCellStyle="TXT2"/>
    <tableColumn id="3" uniqueName="3" name="M_NQTRI_COUNT" totalsRowFunction="sum" queryTableFieldId="3" headerRowDxfId="2268" dataDxfId="2267" totalsRowDxfId="2266" headerRowCellStyle="Normal 2" dataCellStyle="TXT2"/>
    <tableColumn id="4" uniqueName="4" name="M_QTRI_TOT_COUNT" totalsRowFunction="sum" queryTableFieldId="4" headerRowDxfId="2265" dataDxfId="2264" totalsRowDxfId="2263" headerRowCellStyle="Normal 2" dataCellStyle="TXT2"/>
    <tableColumn id="8" uniqueName="8" name="AREA_ENG" totalsRowLabel="Total" queryTableFieldId="8" headerRowDxfId="2262" dataDxfId="2261" totalsRowDxfId="2260" headerRowCellStyle="Normal 2" dataCellStyle="Normal 2"/>
  </tableColumns>
  <tableStyleInfo name="VITAL" showFirstColumn="0" showLastColumn="0" showRowStripes="1" showColumnStripes="0"/>
</table>
</file>

<file path=xl/tables/table30.xml><?xml version="1.0" encoding="utf-8"?>
<table xmlns="http://schemas.openxmlformats.org/spreadsheetml/2006/main" id="29" name="Table_Default__XLS_TAB_18_1" displayName="Table_Default__XLS_TAB_18_1" ref="A9:N23" tableType="queryTable" headerRowCount="0" totalsRowCount="1" headerRowDxfId="1410" totalsRowDxfId="1408" tableBorderDxfId="1409" totalsRowBorderDxfId="1407">
  <tableColumns count="14">
    <tableColumn id="1" uniqueName="1" name="AGE_LEVEL_HUSBD_ARB" totalsRowLabel="المجموع" queryTableFieldId="1" headerRowDxfId="1406" dataDxfId="1405" totalsRowDxfId="1404" headerRowCellStyle="Normal 2" dataCellStyle="Normal 2"/>
    <tableColumn id="2" uniqueName="2" name="AGE_LEVEL_LESS_20" totalsRowFunction="sum" queryTableFieldId="2" headerRowDxfId="1403" dataDxfId="1402" totalsRowDxfId="1401" headerRowCellStyle="Normal 2" dataCellStyle="Normal 2"/>
    <tableColumn id="3" uniqueName="3" name="AGE_LEVEL_20_24" totalsRowFunction="sum" queryTableFieldId="3" headerRowDxfId="1400" dataDxfId="1399" totalsRowDxfId="1398" headerRowCellStyle="Normal 2" dataCellStyle="Normal 2"/>
    <tableColumn id="4" uniqueName="4" name="AGE_LEVEL_25_29" totalsRowFunction="sum" queryTableFieldId="4" headerRowDxfId="1397" dataDxfId="1396" totalsRowDxfId="1395" headerRowCellStyle="Normal 2" dataCellStyle="Normal 2"/>
    <tableColumn id="5" uniqueName="5" name="AGE_LEVEL_30_34" totalsRowFunction="sum" queryTableFieldId="5" headerRowDxfId="1394" dataDxfId="1393" totalsRowDxfId="1392" headerRowCellStyle="Normal 2" dataCellStyle="Normal 2"/>
    <tableColumn id="6" uniqueName="6" name="AGE_LEVEL_35_39" totalsRowFunction="sum" queryTableFieldId="6" headerRowDxfId="1391" dataDxfId="1390" totalsRowDxfId="1389" headerRowCellStyle="Normal 2" dataCellStyle="Normal 2"/>
    <tableColumn id="7" uniqueName="7" name="AGE_LEVEL_40_44" totalsRowFunction="sum" queryTableFieldId="7" headerRowDxfId="1388" dataDxfId="1387" totalsRowDxfId="1386" headerRowCellStyle="Normal 2" dataCellStyle="Normal 2"/>
    <tableColumn id="8" uniqueName="8" name="AGE_LEVEL_45_49" totalsRowFunction="sum" queryTableFieldId="8" headerRowDxfId="1385" dataDxfId="1384" totalsRowDxfId="1383" headerRowCellStyle="Normal 2" dataCellStyle="Normal 2"/>
    <tableColumn id="9" uniqueName="9" name="AGE_LEVEL_50_54" totalsRowFunction="sum" queryTableFieldId="9" headerRowDxfId="1382" dataDxfId="1381" totalsRowDxfId="1380" headerRowCellStyle="Normal 2" dataCellStyle="Normal 2"/>
    <tableColumn id="10" uniqueName="10" name="AGE_LEVEL_55_59" totalsRowFunction="sum" queryTableFieldId="10" headerRowDxfId="1379" dataDxfId="1378" totalsRowDxfId="1377" headerRowCellStyle="Normal 2" dataCellStyle="Normal 2"/>
    <tableColumn id="11" uniqueName="11" name="AGE_LEVEL_UP_60" totalsRowFunction="sum" queryTableFieldId="11" headerRowDxfId="1376" dataDxfId="1375" totalsRowDxfId="1374" headerRowCellStyle="Normal 2" dataCellStyle="Normal 2"/>
    <tableColumn id="12" uniqueName="12" name="AGE_LEVEL_NOT_STATED" totalsRowFunction="sum" queryTableFieldId="12" headerRowDxfId="1373" dataDxfId="1372" totalsRowDxfId="1371" headerRowCellStyle="Normal 2" dataCellStyle="Normal 2"/>
    <tableColumn id="13" uniqueName="13" name="TOTAL" totalsRowFunction="sum" queryTableFieldId="13" headerRowDxfId="1370" dataDxfId="1369" totalsRowDxfId="1368" headerRowCellStyle="Normal 2" dataCellStyle="Normal 2"/>
    <tableColumn id="14" uniqueName="14" name="AGE_LEVEL_HUSBD_ENG" totalsRowLabel="Total" queryTableFieldId="14" headerRowDxfId="1367" dataDxfId="1366" totalsRowDxfId="1365" headerRowCellStyle="Normal 2" dataCellStyle="Normal 2"/>
  </tableColumns>
  <tableStyleInfo name="VITAL" showFirstColumn="0" showLastColumn="0" showRowStripes="1" showColumnStripes="0"/>
</table>
</file>

<file path=xl/tables/table31.xml><?xml version="1.0" encoding="utf-8"?>
<table xmlns="http://schemas.openxmlformats.org/spreadsheetml/2006/main" id="30" name="Table_Default__XLS_TAB_18_2" displayName="Table_Default__XLS_TAB_18_2" ref="A9:N23" tableType="queryTable" headerRowCount="0" totalsRowCount="1" dataDxfId="1364" totalsRowDxfId="1362" tableBorderDxfId="1363" totalsRowBorderDxfId="1361" dataCellStyle="Normal 2">
  <tableColumns count="14">
    <tableColumn id="1" uniqueName="1" name="AGE_LEVEL_HUSBD_ARB" totalsRowLabel="المجموع" queryTableFieldId="1" headerRowDxfId="1360" dataDxfId="1359" totalsRowDxfId="1358" headerRowCellStyle="Normal 2" dataCellStyle="Normal 2"/>
    <tableColumn id="2" uniqueName="2" name="AGE_LEVEL_LESS_20" totalsRowFunction="sum" queryTableFieldId="2" headerRowDxfId="1357" dataDxfId="1356" totalsRowDxfId="1355" headerRowCellStyle="Normal 2" dataCellStyle="Normal 2"/>
    <tableColumn id="3" uniqueName="3" name="AGE_LEVEL_20_24" totalsRowFunction="sum" queryTableFieldId="3" headerRowDxfId="1354" dataDxfId="1353" totalsRowDxfId="1352" headerRowCellStyle="Normal 2" dataCellStyle="Normal 2"/>
    <tableColumn id="4" uniqueName="4" name="AGE_LEVEL_25_29" totalsRowFunction="sum" queryTableFieldId="4" headerRowDxfId="1351" dataDxfId="1350" totalsRowDxfId="1349" headerRowCellStyle="Normal 2" dataCellStyle="Normal 2"/>
    <tableColumn id="5" uniqueName="5" name="AGE_LEVEL_30_34" totalsRowFunction="sum" queryTableFieldId="5" headerRowDxfId="1348" dataDxfId="1347" totalsRowDxfId="1346" headerRowCellStyle="Normal 2" dataCellStyle="Normal 2"/>
    <tableColumn id="6" uniqueName="6" name="AGE_LEVEL_35_39" totalsRowFunction="sum" queryTableFieldId="6" headerRowDxfId="1345" dataDxfId="1344" totalsRowDxfId="1343" headerRowCellStyle="Normal 2" dataCellStyle="Normal 2"/>
    <tableColumn id="7" uniqueName="7" name="AGE_LEVEL_40_44" totalsRowFunction="sum" queryTableFieldId="7" headerRowDxfId="1342" dataDxfId="1341" totalsRowDxfId="1340" headerRowCellStyle="Normal 2" dataCellStyle="Normal 2"/>
    <tableColumn id="8" uniqueName="8" name="AGE_LEVEL_45_49" totalsRowFunction="sum" queryTableFieldId="8" headerRowDxfId="1339" dataDxfId="1338" totalsRowDxfId="1337" headerRowCellStyle="Normal 2" dataCellStyle="Normal 2"/>
    <tableColumn id="9" uniqueName="9" name="AGE_LEVEL_50_54" totalsRowFunction="sum" queryTableFieldId="9" headerRowDxfId="1336" dataDxfId="1335" totalsRowDxfId="1334" headerRowCellStyle="Normal 2" dataCellStyle="Normal 2"/>
    <tableColumn id="10" uniqueName="10" name="AGE_LEVEL_55_59" totalsRowFunction="sum" queryTableFieldId="10" headerRowDxfId="1333" dataDxfId="1332" totalsRowDxfId="1331" headerRowCellStyle="Normal 2" dataCellStyle="Normal 2"/>
    <tableColumn id="11" uniqueName="11" name="AGE_LEVEL_UP_60" totalsRowFunction="sum" queryTableFieldId="11" headerRowDxfId="1330" dataDxfId="1329" totalsRowDxfId="1328" headerRowCellStyle="Normal 2" dataCellStyle="Normal 2"/>
    <tableColumn id="12" uniqueName="12" name="AGE_LEVEL_NOT_STATED" totalsRowFunction="sum" queryTableFieldId="12" headerRowDxfId="1327" dataDxfId="1326" totalsRowDxfId="1325" headerRowCellStyle="Normal 2" dataCellStyle="Normal 2"/>
    <tableColumn id="13" uniqueName="13" name="TOTAL" totalsRowFunction="sum" queryTableFieldId="13" headerRowDxfId="1324" dataDxfId="1323" totalsRowDxfId="1322" headerRowCellStyle="Normal 2" dataCellStyle="Normal 2"/>
    <tableColumn id="14" uniqueName="14" name="AGE_LEVEL_HUSBD_ENG" totalsRowLabel="Total" queryTableFieldId="14" headerRowDxfId="1321" dataDxfId="1320" totalsRowDxfId="1319" headerRowCellStyle="Normal 2" dataCellStyle="Normal 2"/>
  </tableColumns>
  <tableStyleInfo name="VITAL" showFirstColumn="0" showLastColumn="0" showRowStripes="1" showColumnStripes="0"/>
</table>
</file>

<file path=xl/tables/table32.xml><?xml version="1.0" encoding="utf-8"?>
<table xmlns="http://schemas.openxmlformats.org/spreadsheetml/2006/main" id="31" name="Table_Default__XLS_TAB_18_3" displayName="Table_Default__XLS_TAB_18_3" ref="A9:N23" tableType="queryTable" headerRowCount="0" totalsRowCount="1" dataDxfId="1318" totalsRowDxfId="1317" totalsRowBorderDxfId="1316" dataCellStyle="Normal 2">
  <tableColumns count="14">
    <tableColumn id="1" uniqueName="1" name="AGE_LEVEL_HUSBD_ARB" totalsRowLabel="المجموع" queryTableFieldId="1" headerRowDxfId="1315" dataDxfId="1314" totalsRowDxfId="1313" headerRowCellStyle="Normal 2" dataCellStyle="Normal 2"/>
    <tableColumn id="2" uniqueName="2" name="AGE_LEVEL_LESS_20" totalsRowFunction="sum" queryTableFieldId="2" headerRowDxfId="1312" dataDxfId="1311" totalsRowDxfId="1310" headerRowCellStyle="Normal 2" dataCellStyle="Normal 2"/>
    <tableColumn id="3" uniqueName="3" name="AGE_LEVEL_20_24" totalsRowFunction="sum" queryTableFieldId="3" headerRowDxfId="1309" dataDxfId="1308" totalsRowDxfId="1307" headerRowCellStyle="Normal 2" dataCellStyle="Normal 2"/>
    <tableColumn id="4" uniqueName="4" name="AGE_LEVEL_25_29" totalsRowFunction="sum" queryTableFieldId="4" headerRowDxfId="1306" dataDxfId="1305" totalsRowDxfId="1304" headerRowCellStyle="Normal 2" dataCellStyle="Normal 2"/>
    <tableColumn id="5" uniqueName="5" name="AGE_LEVEL_30_34" totalsRowFunction="sum" queryTableFieldId="5" headerRowDxfId="1303" dataDxfId="1302" totalsRowDxfId="1301" headerRowCellStyle="Normal 2" dataCellStyle="Normal 2"/>
    <tableColumn id="6" uniqueName="6" name="AGE_LEVEL_35_39" totalsRowFunction="sum" queryTableFieldId="6" headerRowDxfId="1300" dataDxfId="1299" totalsRowDxfId="1298" headerRowCellStyle="Normal 2" dataCellStyle="Normal 2"/>
    <tableColumn id="7" uniqueName="7" name="AGE_LEVEL_40_44" totalsRowFunction="sum" queryTableFieldId="7" headerRowDxfId="1297" dataDxfId="1296" totalsRowDxfId="1295" headerRowCellStyle="Normal 2" dataCellStyle="Normal 2"/>
    <tableColumn id="8" uniqueName="8" name="AGE_LEVEL_45_49" totalsRowFunction="sum" queryTableFieldId="8" headerRowDxfId="1294" dataDxfId="1293" totalsRowDxfId="1292" headerRowCellStyle="Normal 2" dataCellStyle="Normal 2"/>
    <tableColumn id="9" uniqueName="9" name="AGE_LEVEL_50_54" totalsRowFunction="sum" queryTableFieldId="9" headerRowDxfId="1291" dataDxfId="1290" totalsRowDxfId="1289" headerRowCellStyle="Normal 2" dataCellStyle="Normal 2"/>
    <tableColumn id="10" uniqueName="10" name="AGE_LEVEL_55_59" totalsRowFunction="sum" queryTableFieldId="10" headerRowDxfId="1288" dataDxfId="1287" totalsRowDxfId="1286" headerRowCellStyle="Normal 2" dataCellStyle="Normal 2"/>
    <tableColumn id="11" uniqueName="11" name="AGE_LEVEL_UP_60" totalsRowFunction="sum" queryTableFieldId="11" headerRowDxfId="1285" dataDxfId="1284" totalsRowDxfId="1283" headerRowCellStyle="Normal 2" dataCellStyle="Normal 2"/>
    <tableColumn id="12" uniqueName="12" name="AGE_LEVEL_NOT_STATED" totalsRowFunction="sum" queryTableFieldId="12" headerRowDxfId="1282" dataDxfId="1281" totalsRowDxfId="1280" headerRowCellStyle="Normal 2" dataCellStyle="Normal 2"/>
    <tableColumn id="13" uniqueName="13" name="TOTAL" totalsRowFunction="sum" queryTableFieldId="13" headerRowDxfId="1279" dataDxfId="1278" totalsRowDxfId="1277" headerRowCellStyle="Normal 2" dataCellStyle="Normal 2"/>
    <tableColumn id="14" uniqueName="14" name="AGE_LEVEL_HUSBD_ENG" totalsRowLabel="Total" queryTableFieldId="14" headerRowDxfId="1276" dataDxfId="1275" totalsRowDxfId="1274" headerRowCellStyle="Normal 2" dataCellStyle="Normal 2"/>
  </tableColumns>
  <tableStyleInfo name="VITAL" showFirstColumn="0" showLastColumn="0" showRowStripes="1" showColumnStripes="0"/>
</table>
</file>

<file path=xl/tables/table33.xml><?xml version="1.0" encoding="utf-8"?>
<table xmlns="http://schemas.openxmlformats.org/spreadsheetml/2006/main" id="28" name="Table_Default__XLS_TAB_19" displayName="Table_Default__XLS_TAB_19" ref="C8:J15" tableType="queryTable" headerRowCount="0" totalsRowShown="0" headerRowDxfId="1273" dataDxfId="1272">
  <tableColumns count="8">
    <tableColumn id="1" uniqueName="1" name="CNT_0" queryTableFieldId="1" headerRowDxfId="1271" dataDxfId="1270" headerRowCellStyle="Normal 2" dataCellStyle="Normal 2"/>
    <tableColumn id="2" uniqueName="2" name="CNT_1" queryTableFieldId="2" headerRowDxfId="1269" dataDxfId="1268" headerRowCellStyle="Normal 2" dataCellStyle="Normal 2"/>
    <tableColumn id="3" uniqueName="3" name="CNT_2" queryTableFieldId="3" headerRowDxfId="1267" dataDxfId="1266" headerRowCellStyle="Normal 2" dataCellStyle="Normal 2"/>
    <tableColumn id="4" uniqueName="4" name="CNT_3" queryTableFieldId="4" headerRowDxfId="1265" dataDxfId="1264" headerRowCellStyle="Normal 2" dataCellStyle="Normal 2"/>
    <tableColumn id="5" uniqueName="5" name="CNT_4" queryTableFieldId="5" headerRowDxfId="1263" dataDxfId="1262" headerRowCellStyle="Normal 2" dataCellStyle="Normal 2"/>
    <tableColumn id="6" uniqueName="6" name="CNT_5" queryTableFieldId="6" headerRowDxfId="1261" dataDxfId="1260" headerRowCellStyle="Normal 2" dataCellStyle="Normal 2"/>
    <tableColumn id="7" uniqueName="7" name="CNT_6" queryTableFieldId="7" headerRowDxfId="1259" dataDxfId="1258" headerRowCellStyle="Normal 2" dataCellStyle="Normal 2"/>
    <tableColumn id="8" uniqueName="8" name="NOT_STATED" queryTableFieldId="8" headerRowDxfId="1257" dataDxfId="1256" headerRowCellStyle="Normal 2" dataCellStyle="Normal 2"/>
  </tableColumns>
  <tableStyleInfo name="VITAL" showFirstColumn="0" showLastColumn="0" showRowStripes="1" showColumnStripes="0"/>
</table>
</file>

<file path=xl/tables/table34.xml><?xml version="1.0" encoding="utf-8"?>
<table xmlns="http://schemas.openxmlformats.org/spreadsheetml/2006/main" id="32" name="Table_Default__XLS_TAB_20" displayName="Table_Default__XLS_TAB_20" ref="C8:J15" tableType="queryTable" headerRowCount="0" totalsRowShown="0" headerRowDxfId="1255" dataDxfId="1254" tableBorderDxfId="1253" headerRowCellStyle="Normal 2" dataCellStyle="Normal 2">
  <tableColumns count="8">
    <tableColumn id="1" uniqueName="1" name="CNT_0" queryTableFieldId="1" headerRowDxfId="1252" dataDxfId="1251" headerRowCellStyle="Normal 2" dataCellStyle="Normal 2"/>
    <tableColumn id="2" uniqueName="2" name="CNT_1" queryTableFieldId="2" headerRowDxfId="1250" dataDxfId="1249" headerRowCellStyle="Normal 2" dataCellStyle="Normal 2"/>
    <tableColumn id="3" uniqueName="3" name="CNT_2" queryTableFieldId="3" headerRowDxfId="1248" dataDxfId="1247" headerRowCellStyle="Normal 2" dataCellStyle="Normal 2"/>
    <tableColumn id="4" uniqueName="4" name="CNT_3" queryTableFieldId="4" headerRowDxfId="1246" dataDxfId="1245" headerRowCellStyle="Normal 2" dataCellStyle="Normal 2"/>
    <tableColumn id="5" uniqueName="5" name="CNT_4" queryTableFieldId="5" headerRowDxfId="1244" dataDxfId="1243" headerRowCellStyle="Normal 2" dataCellStyle="Normal 2"/>
    <tableColumn id="6" uniqueName="6" name="CNT_5" queryTableFieldId="6" headerRowDxfId="1242" dataDxfId="1241" headerRowCellStyle="Normal 2" dataCellStyle="Normal 2"/>
    <tableColumn id="7" uniqueName="7" name="CNT_6" queryTableFieldId="7" headerRowDxfId="1240" dataDxfId="1239" headerRowCellStyle="Normal 2" dataCellStyle="Normal 2"/>
    <tableColumn id="8" uniqueName="8" name="NOT_STATED" queryTableFieldId="8" headerRowDxfId="1238" dataDxfId="1237" headerRowCellStyle="Normal 2" dataCellStyle="Normal 2"/>
  </tableColumns>
  <tableStyleInfo name="VITAL" showFirstColumn="0" showLastColumn="0" showRowStripes="1" showColumnStripes="0"/>
</table>
</file>

<file path=xl/tables/table35.xml><?xml version="1.0" encoding="utf-8"?>
<table xmlns="http://schemas.openxmlformats.org/spreadsheetml/2006/main" id="52" name="Table_Default__XLS_TAB_65253" displayName="Table_Default__XLS_TAB_65253" ref="A8:E17" tableType="queryTable" headerRowCount="0" totalsRowCount="1" headerRowDxfId="1236" totalsRowDxfId="1234" tableBorderDxfId="1235" totalsRowBorderDxfId="1233" headerRowCellStyle="Normal 2">
  <tableColumns count="5">
    <tableColumn id="1" uniqueName="1" name="AREA_AR" totalsRowLabel="المجموع" queryTableFieldId="1" headerRowDxfId="1232" dataDxfId="1231" totalsRowDxfId="1230" headerRowCellStyle="Normal 2" dataCellStyle="TXT1"/>
    <tableColumn id="2" uniqueName="2" name="M_QTRI_COUNT" totalsRowFunction="sum" queryTableFieldId="2" headerRowDxfId="1229" dataDxfId="1228" totalsRowDxfId="1227" headerRowCellStyle="Normal 2" dataCellStyle="TXT2"/>
    <tableColumn id="3" uniqueName="3" name="M_NQTRI_COUNT" totalsRowFunction="sum" queryTableFieldId="3" headerRowDxfId="1226" dataDxfId="1225" totalsRowDxfId="1224" headerRowCellStyle="Normal 2" dataCellStyle="TXT2"/>
    <tableColumn id="4" uniqueName="4" name="M_QTRI_TOT_COUNT" totalsRowFunction="sum" queryTableFieldId="4" headerRowDxfId="1223" dataDxfId="1222" totalsRowDxfId="1221" headerRowCellStyle="Normal 2" dataCellStyle="TXT2"/>
    <tableColumn id="8" uniqueName="8" name="AREA_ENG" totalsRowLabel="Total" queryTableFieldId="8" headerRowDxfId="1220" dataDxfId="1219" totalsRowDxfId="1218" headerRowCellStyle="Normal 2" dataCellStyle="Normal 2"/>
  </tableColumns>
  <tableStyleInfo name="VITAL" showFirstColumn="0" showLastColumn="0" showRowStripes="1" showColumnStripes="0"/>
</table>
</file>

<file path=xl/tables/table36.xml><?xml version="1.0" encoding="utf-8"?>
<table xmlns="http://schemas.openxmlformats.org/spreadsheetml/2006/main" id="88" name="Table_Default__XLS_TAB_6525389" displayName="Table_Default__XLS_TAB_6525389" ref="A8:E17" tableType="queryTable" headerRowCount="0" totalsRowCount="1" headerRowDxfId="1217" totalsRowDxfId="1215" tableBorderDxfId="1216" totalsRowBorderDxfId="1214" headerRowCellStyle="Normal 2">
  <tableColumns count="5">
    <tableColumn id="1" uniqueName="1" name="AREA_AR" totalsRowLabel="المجموع" queryTableFieldId="1" headerRowDxfId="1213" dataDxfId="1212" totalsRowDxfId="1211" headerRowCellStyle="Normal 2" dataCellStyle="TXT1"/>
    <tableColumn id="2" uniqueName="2" name="M_QTRI_COUNT" totalsRowFunction="sum" queryTableFieldId="2" headerRowDxfId="1210" dataDxfId="1209" totalsRowDxfId="1208" headerRowCellStyle="Normal 2" dataCellStyle="TXT2"/>
    <tableColumn id="3" uniqueName="3" name="M_NQTRI_COUNT" totalsRowFunction="sum" queryTableFieldId="3" headerRowDxfId="1207" dataDxfId="1206" totalsRowDxfId="1205" headerRowCellStyle="Normal 2" dataCellStyle="TXT2"/>
    <tableColumn id="4" uniqueName="4" name="M_QTRI_TOT_COUNT" totalsRowFunction="sum" queryTableFieldId="4" headerRowDxfId="1204" dataDxfId="1203" totalsRowDxfId="1202" headerRowCellStyle="Normal 2" dataCellStyle="TXT2"/>
    <tableColumn id="8" uniqueName="8" name="AREA_ENG" totalsRowLabel="Total" queryTableFieldId="8" headerRowDxfId="1201" dataDxfId="1200" totalsRowDxfId="1199" headerRowCellStyle="Normal 2" dataCellStyle="Normal 2"/>
  </tableColumns>
  <tableStyleInfo name="VITAL" showFirstColumn="0" showLastColumn="0" showRowStripes="1" showColumnStripes="0"/>
</table>
</file>

<file path=xl/tables/table37.xml><?xml version="1.0" encoding="utf-8"?>
<table xmlns="http://schemas.openxmlformats.org/spreadsheetml/2006/main" id="34" name="Table_Default__XLS_TAB_23" displayName="Table_Default__XLS_TAB_23" ref="B8:G19" tableType="queryTable" headerRowCount="0" totalsRowShown="0" headerRowDxfId="1198" dataDxfId="1197" tableBorderDxfId="1196" headerRowCellStyle="Normal 2" dataCellStyle="TXT2">
  <tableColumns count="6">
    <tableColumn id="1" uniqueName="1" name="M_QTRI_COUNT" queryTableFieldId="1" headerRowDxfId="1195" dataDxfId="1194" headerRowCellStyle="Normal 2" dataCellStyle="TXT2"/>
    <tableColumn id="2" uniqueName="2" name="M_NQTRI_COUNT" queryTableFieldId="2" headerRowDxfId="1193" dataDxfId="1192" headerRowCellStyle="Normal 2" dataCellStyle="TXT2"/>
    <tableColumn id="3" uniqueName="3" name="M_QTRI_TOT_COUNT" queryTableFieldId="3" headerRowDxfId="1191" dataDxfId="1190" headerRowCellStyle="Normal 2" dataCellStyle="Total1"/>
    <tableColumn id="4" uniqueName="4" name="W_QTRI_COUNT" queryTableFieldId="4" headerRowDxfId="1189" dataDxfId="1188" headerRowCellStyle="Normal 2" dataCellStyle="TXT2"/>
    <tableColumn id="5" uniqueName="5" name="W_NQTRI_COUNT" queryTableFieldId="5" headerRowDxfId="1187" dataDxfId="1186" headerRowCellStyle="Normal 2" dataCellStyle="TXT2"/>
    <tableColumn id="6" uniqueName="6" name="W_QTRI_TOT_COUNT" queryTableFieldId="6" headerRowDxfId="1185" dataDxfId="1184" headerRowCellStyle="Normal 2" dataCellStyle="Total1"/>
  </tableColumns>
  <tableStyleInfo name="VITAL" showFirstColumn="0" showLastColumn="0" showRowStripes="1" showColumnStripes="0"/>
</table>
</file>

<file path=xl/tables/table38.xml><?xml version="1.0" encoding="utf-8"?>
<table xmlns="http://schemas.openxmlformats.org/spreadsheetml/2006/main" id="35" name="Table_Default__XLS_TAB_24" displayName="Table_Default__XLS_TAB_24" ref="B8:G13" tableType="queryTable" headerRowCount="0" totalsRowShown="0" headerRowDxfId="1183" dataDxfId="1182" tableBorderDxfId="1181" headerRowCellStyle="Normal 2" dataCellStyle="TXT2">
  <tableColumns count="6">
    <tableColumn id="1" uniqueName="1" name="BAAN_SMALLERQATAR" queryTableFieldId="1" headerRowDxfId="1180" dataDxfId="1179" headerRowCellStyle="Normal 2" dataCellStyle="TXT2"/>
    <tableColumn id="2" uniqueName="2" name="RAJEE" queryTableFieldId="2" headerRowDxfId="1178" dataDxfId="1177" headerRowCellStyle="Normal 2" dataCellStyle="TXT2"/>
    <tableColumn id="3" uniqueName="3" name="KHULLA" queryTableFieldId="3" headerRowDxfId="1176" dataDxfId="1175" headerRowCellStyle="Normal 2" dataCellStyle="TXT2"/>
    <tableColumn id="4" uniqueName="4" name="BAAN_GREATER" queryTableFieldId="4" headerRowDxfId="1174" dataDxfId="1173" headerRowCellStyle="Normal 2" dataCellStyle="TXT2"/>
    <tableColumn id="6" uniqueName="6" name="Column1" queryTableFieldId="6" headerRowDxfId="1172" dataDxfId="1171" headerRowCellStyle="Normal 2" dataCellStyle="TXT2"/>
    <tableColumn id="5" uniqueName="5" name="TOTAL" queryTableFieldId="5" headerRowDxfId="1170" dataDxfId="1169" headerRowCellStyle="Normal 2" dataCellStyle="TXT2"/>
  </tableColumns>
  <tableStyleInfo name="VITAL" showFirstColumn="0" showLastColumn="0" showRowStripes="1" showColumnStripes="0"/>
</table>
</file>

<file path=xl/tables/table39.xml><?xml version="1.0" encoding="utf-8"?>
<table xmlns="http://schemas.openxmlformats.org/spreadsheetml/2006/main" id="36" name="Table_Default__XLS_TAB_25_1" displayName="Table_Default__XLS_TAB_25_1" ref="B9:G22" tableType="queryTable" headerRowCount="0" totalsRowShown="0" headerRowDxfId="1168" dataDxfId="1167" tableBorderDxfId="1166" headerRowCellStyle="Normal 2" dataCellStyle="TXT2">
  <tableColumns count="6">
    <tableColumn id="1" uniqueName="1" name="BAAN_SMALLERQATAR" queryTableFieldId="1" headerRowDxfId="1165" dataDxfId="1164" headerRowCellStyle="Normal 2" dataCellStyle="TXT2"/>
    <tableColumn id="2" uniqueName="2" name="RAJEE" queryTableFieldId="2" headerRowDxfId="1163" dataDxfId="1162" headerRowCellStyle="Normal 2" dataCellStyle="TXT2"/>
    <tableColumn id="3" uniqueName="3" name="KHULLA" queryTableFieldId="3" headerRowDxfId="1161" dataDxfId="1160" headerRowCellStyle="Normal 2" dataCellStyle="TXT2"/>
    <tableColumn id="4" uniqueName="4" name="BAAN_GREATER" queryTableFieldId="4" headerRowDxfId="1159" dataDxfId="1158" headerRowCellStyle="Normal 2" dataCellStyle="TXT2"/>
    <tableColumn id="6" uniqueName="6" name="Column1" queryTableFieldId="6" headerRowDxfId="1157" dataDxfId="1156" headerRowCellStyle="Normal 2" dataCellStyle="TXT2"/>
    <tableColumn id="5" uniqueName="5" name="TOTAL" queryTableFieldId="5" headerRowDxfId="1155" dataDxfId="1154" headerRowCellStyle="Normal 2" dataCellStyle="TXT2"/>
  </tableColumns>
  <tableStyleInfo name="VITAL" showFirstColumn="0" showLastColumn="0" showRowStripes="1" showColumnStripes="0"/>
</table>
</file>

<file path=xl/tables/table4.xml><?xml version="1.0" encoding="utf-8"?>
<table xmlns="http://schemas.openxmlformats.org/spreadsheetml/2006/main" id="51" name="Table_Default__XLS_TAB_652" displayName="Table_Default__XLS_TAB_652" ref="A8:E17" tableType="queryTable" headerRowCount="0" totalsRowCount="1" headerRowDxfId="2259" totalsRowDxfId="2258" headerRowCellStyle="Normal 2">
  <tableColumns count="5">
    <tableColumn id="1" uniqueName="1" name="AREA_AR" totalsRowLabel="المجموع" queryTableFieldId="1" headerRowDxfId="2257" dataDxfId="2256" totalsRowDxfId="2255" headerRowCellStyle="Normal 2" dataCellStyle="TXT1"/>
    <tableColumn id="2" uniqueName="2" name="M_QTRI_COUNT" totalsRowFunction="sum" queryTableFieldId="2" headerRowDxfId="2254" dataDxfId="2253" totalsRowDxfId="2252" headerRowCellStyle="Normal 2" dataCellStyle="TXT2"/>
    <tableColumn id="3" uniqueName="3" name="M_NQTRI_COUNT" totalsRowFunction="sum" queryTableFieldId="3" headerRowDxfId="2251" dataDxfId="2250" totalsRowDxfId="2249" headerRowCellStyle="Normal 2" dataCellStyle="TXT2"/>
    <tableColumn id="4" uniqueName="4" name="M_QTRI_TOT_COUNT" totalsRowFunction="sum" queryTableFieldId="4" headerRowDxfId="2248" dataDxfId="2247" totalsRowDxfId="2246" headerRowCellStyle="Normal 2" dataCellStyle="TXT2"/>
    <tableColumn id="8" uniqueName="8" name="AREA_ENG" totalsRowLabel="Total" queryTableFieldId="8" headerRowDxfId="2245" dataDxfId="2244" totalsRowDxfId="2243" headerRowCellStyle="Normal 2" dataCellStyle="Normal 2"/>
  </tableColumns>
  <tableStyleInfo name="VITAL" showFirstColumn="0" showLastColumn="0" showRowStripes="1" showColumnStripes="0"/>
</table>
</file>

<file path=xl/tables/table40.xml><?xml version="1.0" encoding="utf-8"?>
<table xmlns="http://schemas.openxmlformats.org/spreadsheetml/2006/main" id="37" name="Table_Default__XLS_TAB_25_2" displayName="Table_Default__XLS_TAB_25_2" ref="B9:G22" tableType="queryTable" headerRowCount="0" totalsRowShown="0" headerRowDxfId="1153" dataDxfId="1152" tableBorderDxfId="1151" headerRowCellStyle="Normal 2" dataCellStyle="TXT2">
  <tableColumns count="6">
    <tableColumn id="1" uniqueName="1" name="BAAN_SMALLERQATAR" queryTableFieldId="1" headerRowDxfId="1150" dataDxfId="1149" headerRowCellStyle="Normal 2" dataCellStyle="TXT2"/>
    <tableColumn id="2" uniqueName="2" name="RAJEE" queryTableFieldId="2" headerRowDxfId="1148" dataDxfId="1147" headerRowCellStyle="Normal 2" dataCellStyle="TXT2"/>
    <tableColumn id="3" uniqueName="3" name="KHULLA" queryTableFieldId="3" headerRowDxfId="1146" dataDxfId="1145" headerRowCellStyle="Normal 2" dataCellStyle="TXT2"/>
    <tableColumn id="4" uniqueName="4" name="BAAN_GREATER" queryTableFieldId="4" headerRowDxfId="1144" dataDxfId="1143" headerRowCellStyle="Normal 2" dataCellStyle="TXT2"/>
    <tableColumn id="6" uniqueName="6" name="Column1" queryTableFieldId="6" headerRowDxfId="1142" dataDxfId="1141" headerRowCellStyle="Normal 2" dataCellStyle="TXT2"/>
    <tableColumn id="5" uniqueName="5" name="TOTAL" queryTableFieldId="5" headerRowDxfId="1140" dataDxfId="1139" headerRowCellStyle="Normal 2" dataCellStyle="TXT2"/>
  </tableColumns>
  <tableStyleInfo name="VITAL" showFirstColumn="0" showLastColumn="0" showRowStripes="1" showColumnStripes="0"/>
</table>
</file>

<file path=xl/tables/table41.xml><?xml version="1.0" encoding="utf-8"?>
<table xmlns="http://schemas.openxmlformats.org/spreadsheetml/2006/main" id="38" name="Table_Default__XLS_TAB_25_3" displayName="Table_Default__XLS_TAB_25_3" ref="B9:G22" tableType="queryTable" headerRowCount="0" totalsRowShown="0" headerRowDxfId="1138" dataDxfId="1137" tableBorderDxfId="1136" headerRowCellStyle="Normal 2" dataCellStyle="TXT2">
  <tableColumns count="6">
    <tableColumn id="1" uniqueName="1" name="BAAN_SMALLERQATAR" queryTableFieldId="1" headerRowDxfId="1135" dataDxfId="1134" headerRowCellStyle="Normal 2" dataCellStyle="TXT2"/>
    <tableColumn id="2" uniqueName="2" name="RAJEE" queryTableFieldId="2" headerRowDxfId="1133" dataDxfId="1132" headerRowCellStyle="Normal 2" dataCellStyle="TXT2"/>
    <tableColumn id="3" uniqueName="3" name="KHULLA" queryTableFieldId="3" headerRowDxfId="1131" dataDxfId="1130" headerRowCellStyle="Normal 2" dataCellStyle="TXT2"/>
    <tableColumn id="4" uniqueName="4" name="BAAN_GREATER" queryTableFieldId="4" headerRowDxfId="1129" dataDxfId="1128" headerRowCellStyle="Normal 2" dataCellStyle="TXT2"/>
    <tableColumn id="6" uniqueName="6" name="Column1" queryTableFieldId="6" headerRowDxfId="1127" dataDxfId="1126" headerRowCellStyle="Normal 2" dataCellStyle="TXT2"/>
    <tableColumn id="5" uniqueName="5" name="TOTAL" queryTableFieldId="5" headerRowDxfId="1125" dataDxfId="1124" headerRowCellStyle="Normal 2" dataCellStyle="TXT2"/>
  </tableColumns>
  <tableStyleInfo name="VITAL" showFirstColumn="0" showLastColumn="0" showRowStripes="1" showColumnStripes="0"/>
</table>
</file>

<file path=xl/tables/table42.xml><?xml version="1.0" encoding="utf-8"?>
<table xmlns="http://schemas.openxmlformats.org/spreadsheetml/2006/main" id="86" name="Table_Default__XLS_TAB_26_287" displayName="Table_Default__XLS_TAB_26_287" ref="B9:G19" tableType="queryTable" headerRowCount="0" totalsRowShown="0" headerRowDxfId="1123" dataDxfId="1122" tableBorderDxfId="1121" headerRowCellStyle="Normal 2" dataCellStyle="TXT2">
  <tableColumns count="6">
    <tableColumn id="1" uniqueName="1" name="BAAN_SMALLERQATAR" queryTableFieldId="1" headerRowDxfId="1120" dataDxfId="1119" headerRowCellStyle="Normal 2" dataCellStyle="TXT2"/>
    <tableColumn id="2" uniqueName="2" name="RAJEE" queryTableFieldId="2" headerRowDxfId="1118" dataDxfId="1117" headerRowCellStyle="Normal 2" dataCellStyle="TXT2"/>
    <tableColumn id="3" uniqueName="3" name="KHULLA" queryTableFieldId="3" headerRowDxfId="1116" dataDxfId="1115" headerRowCellStyle="Normal 2" dataCellStyle="TXT2"/>
    <tableColumn id="4" uniqueName="4" name="BAAN_GREATER" queryTableFieldId="4" headerRowDxfId="1114" dataDxfId="1113" headerRowCellStyle="Normal 2" dataCellStyle="TXT2"/>
    <tableColumn id="6" uniqueName="6" name="Column1" queryTableFieldId="6" headerRowDxfId="1112" dataDxfId="1111" headerRowCellStyle="Normal 2" dataCellStyle="TXT2"/>
    <tableColumn id="5" uniqueName="5" name="TOTAL" queryTableFieldId="5" headerRowDxfId="1110" dataDxfId="1109" headerRowCellStyle="Normal 2" dataCellStyle="TXT2"/>
  </tableColumns>
  <tableStyleInfo name="VITAL" showFirstColumn="0" showLastColumn="0" showRowStripes="1" showColumnStripes="0"/>
</table>
</file>

<file path=xl/tables/table43.xml><?xml version="1.0" encoding="utf-8"?>
<table xmlns="http://schemas.openxmlformats.org/spreadsheetml/2006/main" id="40" name="Table_Default__XLS_TAB_26_2" displayName="Table_Default__XLS_TAB_26_2" ref="B9:G19" tableType="queryTable" headerRowCount="0" totalsRowShown="0" headerRowDxfId="1108" dataDxfId="1107" tableBorderDxfId="1106" headerRowCellStyle="Normal 2" dataCellStyle="TXT2">
  <tableColumns count="6">
    <tableColumn id="1" uniqueName="1" name="BAAN_SMALLERQATAR" queryTableFieldId="1" headerRowDxfId="1105" dataDxfId="1104" headerRowCellStyle="Normal 2" dataCellStyle="TXT2"/>
    <tableColumn id="2" uniqueName="2" name="RAJEE" queryTableFieldId="2" headerRowDxfId="1103" dataDxfId="1102" headerRowCellStyle="Normal 2" dataCellStyle="TXT2"/>
    <tableColumn id="3" uniqueName="3" name="KHULLA" queryTableFieldId="3" headerRowDxfId="1101" dataDxfId="1100" headerRowCellStyle="Normal 2" dataCellStyle="TXT2"/>
    <tableColumn id="4" uniqueName="4" name="BAAN_GREATER" queryTableFieldId="4" headerRowDxfId="1099" dataDxfId="1098" headerRowCellStyle="Normal 2" dataCellStyle="TXT2"/>
    <tableColumn id="6" uniqueName="6" name="Column1" queryTableFieldId="6" headerRowDxfId="1097" dataDxfId="1096" headerRowCellStyle="Normal 2" dataCellStyle="TXT2"/>
    <tableColumn id="5" uniqueName="5" name="TOTAL" queryTableFieldId="5" headerRowDxfId="1095" dataDxfId="1094" headerRowCellStyle="Normal 2" dataCellStyle="TXT2"/>
  </tableColumns>
  <tableStyleInfo name="VITAL" showFirstColumn="0" showLastColumn="0" showRowStripes="1" showColumnStripes="0"/>
</table>
</file>

<file path=xl/tables/table44.xml><?xml version="1.0" encoding="utf-8"?>
<table xmlns="http://schemas.openxmlformats.org/spreadsheetml/2006/main" id="39" name="Table_Default__XLS_TAB_26_240" displayName="Table_Default__XLS_TAB_26_240" ref="B9:G19" tableType="queryTable" headerRowCount="0" totalsRowShown="0" headerRowDxfId="1093" dataDxfId="1092" tableBorderDxfId="1091" headerRowCellStyle="Normal 2" dataCellStyle="TXT2">
  <tableColumns count="6">
    <tableColumn id="1" uniqueName="1" name="BAAN_SMALLERQATAR" queryTableFieldId="1" headerRowDxfId="1090" dataDxfId="1089" headerRowCellStyle="Normal 2" dataCellStyle="TXT2"/>
    <tableColumn id="2" uniqueName="2" name="RAJEE" queryTableFieldId="2" headerRowDxfId="1088" dataDxfId="1087" headerRowCellStyle="Normal 2" dataCellStyle="TXT2"/>
    <tableColumn id="3" uniqueName="3" name="KHULLA" queryTableFieldId="3" headerRowDxfId="1086" dataDxfId="1085" headerRowCellStyle="Normal 2" dataCellStyle="TXT2"/>
    <tableColumn id="4" uniqueName="4" name="BAAN_GREATER" queryTableFieldId="4" headerRowDxfId="1084" dataDxfId="1083" headerRowCellStyle="Normal 2" dataCellStyle="TXT2"/>
    <tableColumn id="6" uniqueName="6" name="Column1" queryTableFieldId="6" headerRowDxfId="1082" dataDxfId="1081" headerRowCellStyle="Normal 2" dataCellStyle="TXT2"/>
    <tableColumn id="5" uniqueName="5" name="TOTAL" queryTableFieldId="5" headerRowDxfId="1080" dataDxfId="1079" headerRowCellStyle="Normal 2" dataCellStyle="TXT2"/>
  </tableColumns>
  <tableStyleInfo name="VITAL" showFirstColumn="0" showLastColumn="0" showRowStripes="1" showColumnStripes="0"/>
</table>
</file>

<file path=xl/tables/table45.xml><?xml version="1.0" encoding="utf-8"?>
<table xmlns="http://schemas.openxmlformats.org/spreadsheetml/2006/main" id="82" name="Table_Default__XLS_TAB_27_283" displayName="Table_Default__XLS_TAB_27_283" ref="C8:H18" tableType="queryTable" headerRowCount="0" totalsRowShown="0" headerRowDxfId="1078" dataDxfId="1077" tableBorderDxfId="1076" headerRowCellStyle="Normal 2">
  <tableColumns count="6">
    <tableColumn id="1" uniqueName="1" name="BAAN_SMALLER_CNT" queryTableFieldId="1" headerRowDxfId="1075" dataDxfId="1074" headerRowCellStyle="Normal 2" dataCellStyle="Normal 2"/>
    <tableColumn id="2" uniqueName="2" name="RAJEE_CNT" queryTableFieldId="2" headerRowDxfId="1073" dataDxfId="1072" headerRowCellStyle="Normal 2" dataCellStyle="Normal 2"/>
    <tableColumn id="3" uniqueName="3" name="KHULLA_CNT" queryTableFieldId="3" headerRowDxfId="1071" dataDxfId="1070" headerRowCellStyle="Normal 2" dataCellStyle="Normal 2"/>
    <tableColumn id="4" uniqueName="4" name="BAAN_GREATER_CNT" queryTableFieldId="4" headerRowDxfId="1069" dataDxfId="1068" headerRowCellStyle="Normal 2" dataCellStyle="Normal 2"/>
    <tableColumn id="6" uniqueName="6" name="Column1" queryTableFieldId="6" headerRowDxfId="1067" dataDxfId="1066" headerRowCellStyle="Normal 2" dataCellStyle="Normal 2"/>
    <tableColumn id="5" uniqueName="5" name="TOTAL" queryTableFieldId="5" headerRowDxfId="1065" dataDxfId="1064" headerRowCellStyle="Normal 2" dataCellStyle="Normal 2"/>
  </tableColumns>
  <tableStyleInfo name="VITAL" showFirstColumn="0" showLastColumn="0" showRowStripes="1" showColumnStripes="0"/>
</table>
</file>

<file path=xl/tables/table46.xml><?xml version="1.0" encoding="utf-8"?>
<table xmlns="http://schemas.openxmlformats.org/spreadsheetml/2006/main" id="42" name="Table_Default__XLS_TAB_27_1" displayName="Table_Default__XLS_TAB_27_1" ref="B9:G20" tableType="queryTable" headerRowCount="0" totalsRowShown="0" headerRowDxfId="1063" dataDxfId="1062" tableBorderDxfId="1061" headerRowCellStyle="Normal 2" dataCellStyle="TXT2">
  <tableColumns count="6">
    <tableColumn id="1" uniqueName="1" name="BAAN_SMALLERQATAR" queryTableFieldId="1" headerRowDxfId="1060" dataDxfId="1059" headerRowCellStyle="Normal 2" dataCellStyle="TXT2"/>
    <tableColumn id="2" uniqueName="2" name="RAJEE" queryTableFieldId="2" headerRowDxfId="1058" dataDxfId="1057" headerRowCellStyle="Normal 2" dataCellStyle="TXT2"/>
    <tableColumn id="3" uniqueName="3" name="KHULLA" queryTableFieldId="3" headerRowDxfId="1056" dataDxfId="1055" headerRowCellStyle="Normal 2" dataCellStyle="TXT2"/>
    <tableColumn id="4" uniqueName="4" name="BAAN_GREATER" queryTableFieldId="4" headerRowDxfId="1054" dataDxfId="1053" headerRowCellStyle="Normal 2" dataCellStyle="TXT2"/>
    <tableColumn id="6" uniqueName="6" name="Column1" queryTableFieldId="6" headerRowDxfId="1052" dataDxfId="1051" headerRowCellStyle="Normal 2" dataCellStyle="TXT2"/>
    <tableColumn id="5" uniqueName="5" name="TOTAL" queryTableFieldId="5" headerRowDxfId="1050" dataDxfId="1049" headerRowCellStyle="Normal 2" dataCellStyle="TXT2"/>
  </tableColumns>
  <tableStyleInfo name="VITAL" showFirstColumn="0" showLastColumn="0" showRowStripes="1" showColumnStripes="0"/>
</table>
</file>

<file path=xl/tables/table47.xml><?xml version="1.0" encoding="utf-8"?>
<table xmlns="http://schemas.openxmlformats.org/spreadsheetml/2006/main" id="87" name="Table_Default__XLS_TAB_27_188" displayName="Table_Default__XLS_TAB_27_188" ref="B9:G20" tableType="queryTable" headerRowCount="0" totalsRowShown="0" headerRowDxfId="1048" dataDxfId="1047" tableBorderDxfId="1046" headerRowCellStyle="Normal 2" dataCellStyle="TXT2">
  <tableColumns count="6">
    <tableColumn id="1" uniqueName="1" name="BAAN_SMALLERQATAR" queryTableFieldId="1" headerRowDxfId="1045" dataDxfId="1044" headerRowCellStyle="Normal 2" dataCellStyle="TXT2"/>
    <tableColumn id="2" uniqueName="2" name="RAJEE" queryTableFieldId="2" headerRowDxfId="1043" dataDxfId="1042" headerRowCellStyle="Normal 2" dataCellStyle="TXT2"/>
    <tableColumn id="3" uniqueName="3" name="KHULLA" queryTableFieldId="3" headerRowDxfId="1041" dataDxfId="1040" headerRowCellStyle="Normal 2" dataCellStyle="TXT2"/>
    <tableColumn id="4" uniqueName="4" name="BAAN_GREATER" queryTableFieldId="4" headerRowDxfId="1039" dataDxfId="1038" headerRowCellStyle="Normal 2" dataCellStyle="TXT2"/>
    <tableColumn id="6" uniqueName="6" name="Column1" queryTableFieldId="6" headerRowDxfId="1037" dataDxfId="1036" headerRowCellStyle="Normal 2" dataCellStyle="TXT2"/>
    <tableColumn id="5" uniqueName="5" name="TOTAL" queryTableFieldId="5" headerRowDxfId="1035" dataDxfId="1034" headerRowCellStyle="Normal 2" dataCellStyle="TXT2"/>
  </tableColumns>
  <tableStyleInfo name="VITAL" showFirstColumn="0" showLastColumn="0" showRowStripes="1" showColumnStripes="0"/>
</table>
</file>

<file path=xl/tables/table48.xml><?xml version="1.0" encoding="utf-8"?>
<table xmlns="http://schemas.openxmlformats.org/spreadsheetml/2006/main" id="44" name="Table_Default__XLS_TAB_27_3" displayName="Table_Default__XLS_TAB_27_3" ref="B9:G20" tableType="queryTable" headerRowCount="0" totalsRowShown="0" headerRowDxfId="1033" dataDxfId="1032" tableBorderDxfId="1031" headerRowCellStyle="Normal 2" dataCellStyle="TXT2">
  <tableColumns count="6">
    <tableColumn id="1" uniqueName="1" name="BAAN_SMALLERQATAR" queryTableFieldId="1" headerRowDxfId="1030" dataDxfId="1029" headerRowCellStyle="Normal 2" dataCellStyle="TXT2"/>
    <tableColumn id="2" uniqueName="2" name="RAJEE" queryTableFieldId="2" headerRowDxfId="1028" dataDxfId="1027" headerRowCellStyle="Normal 2" dataCellStyle="TXT2"/>
    <tableColumn id="3" uniqueName="3" name="KHULLA" queryTableFieldId="3" headerRowDxfId="1026" dataDxfId="1025" headerRowCellStyle="Normal 2" dataCellStyle="TXT2"/>
    <tableColumn id="4" uniqueName="4" name="BAAN_GREATER" queryTableFieldId="4" headerRowDxfId="1024" dataDxfId="1023" headerRowCellStyle="Normal 2" dataCellStyle="TXT2"/>
    <tableColumn id="6" uniqueName="6" name="Column1" queryTableFieldId="6" headerRowDxfId="1022" dataDxfId="1021" headerRowCellStyle="Normal 2" dataCellStyle="TXT2"/>
    <tableColumn id="5" uniqueName="5" name="TOTAL" queryTableFieldId="5" headerRowDxfId="1020" dataDxfId="1019" headerRowCellStyle="Normal 2" dataCellStyle="TXT2"/>
  </tableColumns>
  <tableStyleInfo name="VITAL" showFirstColumn="0" showLastColumn="0" showRowStripes="1" showColumnStripes="0"/>
</table>
</file>

<file path=xl/tables/table49.xml><?xml version="1.0" encoding="utf-8"?>
<table xmlns="http://schemas.openxmlformats.org/spreadsheetml/2006/main" id="80" name="Table_Default__XLS_TAB_30_281" displayName="Table_Default__XLS_TAB_30_281" ref="A9:N20" tableType="queryTable" headerRowCount="0" totalsRowShown="0" headerRowDxfId="1018" dataDxfId="1017" tableBorderDxfId="1016" headerRowCellStyle="Normal 2" dataCellStyle="Normal 2">
  <tableColumns count="14">
    <tableColumn id="1" uniqueName="1" name="MARRD_PRD_HUSBD_ARB" queryTableFieldId="1" headerRowDxfId="1015" dataDxfId="1014" totalsRowDxfId="1013" headerRowCellStyle="Normal 2" dataCellStyle="TXT1"/>
    <tableColumn id="2" uniqueName="2" name="CAT_1_HSB_CNT" queryTableFieldId="2" headerRowDxfId="1012" dataDxfId="1011" totalsRowDxfId="1010" headerRowCellStyle="Normal 2" dataCellStyle="Normal 2"/>
    <tableColumn id="3" uniqueName="3" name="CAT_1_WFE_CNT" queryTableFieldId="3" headerRowDxfId="1009" dataDxfId="1008" totalsRowDxfId="1007" headerRowCellStyle="Normal 2" dataCellStyle="Normal 2"/>
    <tableColumn id="4" uniqueName="4" name="CAT_2_HSB_CNT" queryTableFieldId="4" headerRowDxfId="1006" dataDxfId="1005" totalsRowDxfId="1004" headerRowCellStyle="Normal 2" dataCellStyle="Normal 2"/>
    <tableColumn id="5" uniqueName="5" name="CAT_2_WFE_CNT" queryTableFieldId="5" headerRowDxfId="1003" dataDxfId="1002" totalsRowDxfId="1001" headerRowCellStyle="Normal 2" dataCellStyle="Normal 2"/>
    <tableColumn id="6" uniqueName="6" name="CAT_3_HSB_CNT" queryTableFieldId="6" headerRowDxfId="1000" dataDxfId="999" totalsRowDxfId="998" headerRowCellStyle="Normal 2" dataCellStyle="Normal 2"/>
    <tableColumn id="7" uniqueName="7" name="CAT_3_WFE_CNT" queryTableFieldId="7" headerRowDxfId="997" dataDxfId="996" totalsRowDxfId="995" headerRowCellStyle="Normal 2" dataCellStyle="Normal 2"/>
    <tableColumn id="8" uniqueName="8" name="CAT_4_HSB_CNT" queryTableFieldId="8" headerRowDxfId="994" dataDxfId="993" totalsRowDxfId="992" headerRowCellStyle="Normal 2" dataCellStyle="Normal 2"/>
    <tableColumn id="9" uniqueName="9" name="CAT_4_WFE_CNT" queryTableFieldId="9" headerRowDxfId="991" dataDxfId="990" totalsRowDxfId="989" headerRowCellStyle="Normal 2" dataCellStyle="Normal 2"/>
    <tableColumn id="10" uniqueName="10" name="TOT_HSB_CNT" queryTableFieldId="10" headerRowDxfId="988" dataDxfId="987" totalsRowDxfId="986" headerRowCellStyle="Normal 2" dataCellStyle="Normal 2"/>
    <tableColumn id="11" uniqueName="11" name="TOT_WFE_CNT" queryTableFieldId="11" headerRowDxfId="985" dataDxfId="984" totalsRowDxfId="983" headerRowCellStyle="Normal 2" dataCellStyle="Normal 2"/>
    <tableColumn id="12" uniqueName="12" name="TOT_NOTSTAT_CNT" queryTableFieldId="12" headerRowDxfId="982" dataDxfId="981" totalsRowDxfId="980" headerRowCellStyle="Normal 2" dataCellStyle="Normal 2"/>
    <tableColumn id="13" uniqueName="13" name="G_TOTAL" queryTableFieldId="13" headerRowDxfId="979" dataDxfId="978" headerRowCellStyle="Normal 2" dataCellStyle="Normal 2"/>
    <tableColumn id="14" uniqueName="14" name="MARRD_PRD_HUSBD_ENG" queryTableFieldId="14" headerRowDxfId="977" dataDxfId="976" totalsRowDxfId="975" headerRowCellStyle="Normal 2" dataCellStyle="TXT1"/>
  </tableColumns>
  <tableStyleInfo name="VITAL" showFirstColumn="0" showLastColumn="0" showRowStripes="1" showColumnStripes="0"/>
</table>
</file>

<file path=xl/tables/table5.xml><?xml version="1.0" encoding="utf-8"?>
<table xmlns="http://schemas.openxmlformats.org/spreadsheetml/2006/main" id="1" name="Table_Default__XLS_TAB_7" displayName="Table_Default__XLS_TAB_7" ref="B7:G19" tableType="queryTable" headerRowCount="0" totalsRowCount="1" headerRowDxfId="2242" dataDxfId="2241" totalsRowDxfId="2240" totalsRowBorderDxfId="2239">
  <tableColumns count="6">
    <tableColumn id="1" uniqueName="1" name="M_QTRI_COUNT" totalsRowFunction="custom" queryTableFieldId="1" headerRowDxfId="2238" dataDxfId="2237" totalsRowDxfId="2236" headerRowCellStyle="TXT2" dataCellStyle="TXT2">
      <totalsRowFormula>SUM(B7:B18)</totalsRowFormula>
    </tableColumn>
    <tableColumn id="2" uniqueName="2" name="M_NQTRI_COUNT" totalsRowFunction="custom" queryTableFieldId="2" headerRowDxfId="2235" dataDxfId="2234" totalsRowDxfId="2233" headerRowCellStyle="TXT2" dataCellStyle="TXT2">
      <totalsRowFormula>SUM(Table_Default__XLS_TAB_7[M_NQTRI_COUNT])</totalsRowFormula>
    </tableColumn>
    <tableColumn id="3" uniqueName="3" name="M_QTRI_TOT_COUNT" totalsRowFunction="custom" queryTableFieldId="3" headerRowDxfId="2232" dataDxfId="2231" totalsRowDxfId="2230" headerRowCellStyle="TXT2" dataCellStyle="Total1">
      <totalsRowFormula>SUM(Table_Default__XLS_TAB_7[M_QTRI_TOT_COUNT])</totalsRowFormula>
    </tableColumn>
    <tableColumn id="4" uniqueName="4" name="W_QTRI_COUNT" totalsRowFunction="custom" queryTableFieldId="4" headerRowDxfId="2229" dataDxfId="2228" totalsRowDxfId="2227" headerRowCellStyle="TXT2" dataCellStyle="TXT2">
      <totalsRowFormula>SUM(Table_Default__XLS_TAB_7[W_QTRI_COUNT])</totalsRowFormula>
    </tableColumn>
    <tableColumn id="5" uniqueName="5" name="W_NQTRI_COUNT" totalsRowFunction="custom" queryTableFieldId="5" headerRowDxfId="2226" dataDxfId="2225" totalsRowDxfId="2224" headerRowCellStyle="TXT2" dataCellStyle="TXT2">
      <totalsRowFormula>SUM(Table_Default__XLS_TAB_7[W_NQTRI_COUNT])</totalsRowFormula>
    </tableColumn>
    <tableColumn id="6" uniqueName="6" name="W_QTRI_TOT_COUNT" totalsRowFunction="custom" queryTableFieldId="6" headerRowDxfId="2223" dataDxfId="2222" totalsRowDxfId="2221" headerRowCellStyle="TXT2" dataCellStyle="Total1">
      <totalsRowFormula>SUM(Table_Default__XLS_TAB_7[W_QTRI_TOT_COUNT])</totalsRowFormula>
    </tableColumn>
  </tableColumns>
  <tableStyleInfo name="VITAL" showFirstColumn="0" showLastColumn="0" showRowStripes="1" showColumnStripes="0"/>
</table>
</file>

<file path=xl/tables/table50.xml><?xml version="1.0" encoding="utf-8"?>
<table xmlns="http://schemas.openxmlformats.org/spreadsheetml/2006/main" id="45" name="Table_Default__XLS_TAB_28_1" displayName="Table_Default__XLS_TAB_28_1" ref="B9:G20" tableType="queryTable" headerRowCount="0" totalsRowShown="0" headerRowDxfId="974" dataDxfId="973" tableBorderDxfId="972" headerRowCellStyle="Normal 2" dataCellStyle="TXT2">
  <tableColumns count="6">
    <tableColumn id="1" uniqueName="1" name="BAAN_SMALLERQATAR" queryTableFieldId="1" headerRowDxfId="971" dataDxfId="970" headerRowCellStyle="Normal 2" dataCellStyle="TXT2"/>
    <tableColumn id="2" uniqueName="2" name="RAJEE" queryTableFieldId="2" headerRowDxfId="969" dataDxfId="968" headerRowCellStyle="Normal 2" dataCellStyle="TXT2"/>
    <tableColumn id="3" uniqueName="3" name="KHULLA" queryTableFieldId="3" headerRowDxfId="967" dataDxfId="966" headerRowCellStyle="Normal 2" dataCellStyle="TXT2"/>
    <tableColumn id="4" uniqueName="4" name="BAAN_GREATER" queryTableFieldId="4" headerRowDxfId="965" dataDxfId="964" headerRowCellStyle="Normal 2" dataCellStyle="TXT2"/>
    <tableColumn id="6" uniqueName="6" name="Column1" queryTableFieldId="6" headerRowDxfId="963" dataDxfId="962" headerRowCellStyle="Normal 2" dataCellStyle="TXT2"/>
    <tableColumn id="5" uniqueName="5" name="TOTAL" queryTableFieldId="5" headerRowDxfId="961" dataDxfId="960" headerRowCellStyle="Normal 2" dataCellStyle="TXT2"/>
  </tableColumns>
  <tableStyleInfo name="VITAL" showFirstColumn="0" showLastColumn="0" showRowStripes="1" showColumnStripes="0"/>
</table>
</file>

<file path=xl/tables/table51.xml><?xml version="1.0" encoding="utf-8"?>
<table xmlns="http://schemas.openxmlformats.org/spreadsheetml/2006/main" id="85" name="Table_Default__XLS_TAB_28_186" displayName="Table_Default__XLS_TAB_28_186" ref="B9:G20" tableType="queryTable" headerRowCount="0" totalsRowShown="0" headerRowDxfId="959" dataDxfId="958" tableBorderDxfId="957" headerRowCellStyle="Normal 2" dataCellStyle="TXT2">
  <tableColumns count="6">
    <tableColumn id="1" uniqueName="1" name="BAAN_SMALLERQATAR" queryTableFieldId="1" headerRowDxfId="956" dataDxfId="955" headerRowCellStyle="Normal 2" dataCellStyle="TXT2"/>
    <tableColumn id="2" uniqueName="2" name="RAJEE" queryTableFieldId="2" headerRowDxfId="954" dataDxfId="953" headerRowCellStyle="Normal 2" dataCellStyle="TXT2"/>
    <tableColumn id="3" uniqueName="3" name="KHULLA" queryTableFieldId="3" headerRowDxfId="952" dataDxfId="951" headerRowCellStyle="Normal 2" dataCellStyle="TXT2"/>
    <tableColumn id="4" uniqueName="4" name="BAAN_GREATER" queryTableFieldId="4" headerRowDxfId="950" dataDxfId="949" headerRowCellStyle="Normal 2" dataCellStyle="TXT2"/>
    <tableColumn id="6" uniqueName="6" name="Column1" queryTableFieldId="6" headerRowDxfId="948" dataDxfId="947" headerRowCellStyle="Normal 2" dataCellStyle="TXT2"/>
    <tableColumn id="5" uniqueName="5" name="TOTAL" queryTableFieldId="5" headerRowDxfId="946" dataDxfId="945" headerRowCellStyle="Normal 2" dataCellStyle="TXT2"/>
  </tableColumns>
  <tableStyleInfo name="VITAL" showFirstColumn="0" showLastColumn="0" showRowStripes="1" showColumnStripes="0"/>
</table>
</file>

<file path=xl/tables/table52.xml><?xml version="1.0" encoding="utf-8"?>
<table xmlns="http://schemas.openxmlformats.org/spreadsheetml/2006/main" id="47" name="Table_Default__XLS_TAB_28_3" displayName="Table_Default__XLS_TAB_28_3" ref="B9:G20" tableType="queryTable" headerRowCount="0" totalsRowShown="0" headerRowDxfId="944" dataDxfId="943" tableBorderDxfId="942" headerRowCellStyle="Normal 2" dataCellStyle="TXT2">
  <tableColumns count="6">
    <tableColumn id="1" uniqueName="1" name="BAAN_SMALLERQATAR" queryTableFieldId="1" headerRowDxfId="941" dataDxfId="940" headerRowCellStyle="Normal 2" dataCellStyle="TXT2"/>
    <tableColumn id="2" uniqueName="2" name="RAJEE" queryTableFieldId="2" headerRowDxfId="939" dataDxfId="938" headerRowCellStyle="Normal 2" dataCellStyle="TXT2"/>
    <tableColumn id="3" uniqueName="3" name="KHULLA" queryTableFieldId="3" headerRowDxfId="937" dataDxfId="936" headerRowCellStyle="Normal 2" dataCellStyle="TXT2"/>
    <tableColumn id="4" uniqueName="4" name="BAAN_GREATER" queryTableFieldId="4" headerRowDxfId="935" dataDxfId="934" headerRowCellStyle="Normal 2" dataCellStyle="TXT2"/>
    <tableColumn id="6" uniqueName="6" name="Column1" queryTableFieldId="6" headerRowDxfId="933" dataDxfId="932" headerRowCellStyle="Normal 2" dataCellStyle="TXT2"/>
    <tableColumn id="5" uniqueName="5" name="TOTAL" queryTableFieldId="5" headerRowDxfId="931" dataDxfId="930" headerRowCellStyle="Normal 2" dataCellStyle="TXT2"/>
  </tableColumns>
  <tableStyleInfo name="VITAL" showFirstColumn="0" showLastColumn="0" showRowStripes="1" showColumnStripes="0"/>
</table>
</file>

<file path=xl/tables/table53.xml><?xml version="1.0" encoding="utf-8"?>
<table xmlns="http://schemas.openxmlformats.org/spreadsheetml/2006/main" id="48" name="Table_Default__XLS_TAB_29_1" displayName="Table_Default__XLS_TAB_29_1" ref="A9:O22" tableType="queryTable" headerRowCount="0" totalsRowShown="0" headerRowDxfId="929" dataDxfId="928" tableBorderDxfId="927" headerRowCellStyle="Normal 2" dataCellStyle="Normal 2">
  <tableColumns count="15">
    <tableColumn id="1" uniqueName="1" name="AGE_LEVEL_ARB" queryTableFieldId="1" headerRowDxfId="926" dataDxfId="925" headerRowCellStyle="Normal 2" dataCellStyle="TXT1"/>
    <tableColumn id="2" uniqueName="2" name="B_CONS_CNT" queryTableFieldId="2" headerRowDxfId="924" dataDxfId="923" headerRowCellStyle="Normal 2" dataCellStyle="Normal 2"/>
    <tableColumn id="3" uniqueName="3" name="BELOW_1_CNT" queryTableFieldId="3" headerRowDxfId="922" dataDxfId="921" headerRowCellStyle="Normal 2" dataCellStyle="Normal 2"/>
    <tableColumn id="4" uniqueName="4" name="CNT_1" queryTableFieldId="4" headerRowDxfId="920" dataDxfId="919" headerRowCellStyle="Normal 2" dataCellStyle="Normal 2"/>
    <tableColumn id="5" uniqueName="5" name="CNT_2" queryTableFieldId="5" headerRowDxfId="918" dataDxfId="917" headerRowCellStyle="Normal 2" dataCellStyle="Normal 2"/>
    <tableColumn id="6" uniqueName="6" name="CNT_3" queryTableFieldId="6" headerRowDxfId="916" dataDxfId="915" headerRowCellStyle="Normal 2" dataCellStyle="Normal 2"/>
    <tableColumn id="7" uniqueName="7" name="CNT_4" queryTableFieldId="7" headerRowDxfId="914" dataDxfId="913" headerRowCellStyle="Normal 2" dataCellStyle="Normal 2"/>
    <tableColumn id="8" uniqueName="8" name="CNT_5_9" queryTableFieldId="8" headerRowDxfId="912" dataDxfId="911" headerRowCellStyle="Normal 2" dataCellStyle="Normal 2"/>
    <tableColumn id="9" uniqueName="9" name="CNT_10_14" queryTableFieldId="9" headerRowDxfId="910" dataDxfId="909" headerRowCellStyle="Normal 2" dataCellStyle="Normal 2"/>
    <tableColumn id="10" uniqueName="10" name="CNT_15_19" queryTableFieldId="10" headerRowDxfId="908" dataDxfId="907" headerRowCellStyle="Normal 2" dataCellStyle="Normal 2"/>
    <tableColumn id="11" uniqueName="11" name="CNT_20_24" queryTableFieldId="11" headerRowDxfId="906" dataDxfId="905" headerRowCellStyle="Normal 2" dataCellStyle="Normal 2"/>
    <tableColumn id="12" uniqueName="12" name="CNT_UP_25" queryTableFieldId="12" headerRowDxfId="904" dataDxfId="903" headerRowCellStyle="Normal 2" dataCellStyle="Normal 2"/>
    <tableColumn id="13" uniqueName="13" name="NOT_STATED" queryTableFieldId="13" headerRowDxfId="902" dataDxfId="901" headerRowCellStyle="Normal 2" dataCellStyle="Normal 2"/>
    <tableColumn id="14" uniqueName="14" name="TOTAL" queryTableFieldId="14" headerRowDxfId="900" dataDxfId="899" headerRowCellStyle="Normal 2" dataCellStyle="TXT2"/>
    <tableColumn id="15" uniqueName="15" name="AGE_LEVEL_ENG" queryTableFieldId="15" headerRowDxfId="898" dataDxfId="897" headerRowCellStyle="Normal 2" dataCellStyle="TXT1"/>
  </tableColumns>
  <tableStyleInfo name="VITAL" showFirstColumn="0" showLastColumn="0" showRowStripes="1" showColumnStripes="0"/>
</table>
</file>

<file path=xl/tables/table54.xml><?xml version="1.0" encoding="utf-8"?>
<table xmlns="http://schemas.openxmlformats.org/spreadsheetml/2006/main" id="49" name="Table_Default__XLS_TAB_29_2" displayName="Table_Default__XLS_TAB_29_2" ref="A9:O22" tableType="queryTable" headerRowCount="0" totalsRowShown="0" headerRowDxfId="896" dataDxfId="895" tableBorderDxfId="894" headerRowCellStyle="Normal 2" dataCellStyle="Normal 2">
  <tableColumns count="15">
    <tableColumn id="1" uniqueName="1" name="AGE_LEVEL_ARB" queryTableFieldId="1" headerRowDxfId="893" dataDxfId="892" headerRowCellStyle="Normal 2" dataCellStyle="TXT1"/>
    <tableColumn id="2" uniqueName="2" name="B_CONS_CNT" queryTableFieldId="2" headerRowDxfId="891" dataDxfId="890" headerRowCellStyle="Normal 2" dataCellStyle="Normal 2"/>
    <tableColumn id="3" uniqueName="3" name="BELOW_1_CNT" queryTableFieldId="3" headerRowDxfId="889" dataDxfId="888" headerRowCellStyle="Normal 2" dataCellStyle="Normal 2"/>
    <tableColumn id="4" uniqueName="4" name="CNT_1" queryTableFieldId="4" headerRowDxfId="887" dataDxfId="886" headerRowCellStyle="Normal 2" dataCellStyle="Normal 2"/>
    <tableColumn id="5" uniqueName="5" name="CNT_2" queryTableFieldId="5" headerRowDxfId="885" dataDxfId="884" headerRowCellStyle="Normal 2" dataCellStyle="Normal 2"/>
    <tableColumn id="6" uniqueName="6" name="CNT_3" queryTableFieldId="6" headerRowDxfId="883" dataDxfId="882" headerRowCellStyle="Normal 2" dataCellStyle="Normal 2"/>
    <tableColumn id="7" uniqueName="7" name="CNT_4" queryTableFieldId="7" headerRowDxfId="881" dataDxfId="880" headerRowCellStyle="Normal 2" dataCellStyle="Normal 2"/>
    <tableColumn id="8" uniqueName="8" name="CNT_5_9" queryTableFieldId="8" headerRowDxfId="879" dataDxfId="878" headerRowCellStyle="Normal 2" dataCellStyle="Normal 2"/>
    <tableColumn id="9" uniqueName="9" name="CNT_10_14" queryTableFieldId="9" headerRowDxfId="877" dataDxfId="876" headerRowCellStyle="Normal 2" dataCellStyle="Normal 2"/>
    <tableColumn id="10" uniqueName="10" name="CNT_15_19" queryTableFieldId="10" headerRowDxfId="875" dataDxfId="874" headerRowCellStyle="Normal 2" dataCellStyle="Normal 2"/>
    <tableColumn id="11" uniqueName="11" name="CNT_20_24" queryTableFieldId="11" headerRowDxfId="873" dataDxfId="872" headerRowCellStyle="Normal 2" dataCellStyle="Normal 2"/>
    <tableColumn id="12" uniqueName="12" name="CNT_UP_25" queryTableFieldId="12" headerRowDxfId="871" dataDxfId="870" headerRowCellStyle="Normal 2" dataCellStyle="Normal 2"/>
    <tableColumn id="13" uniqueName="13" name="NOT_STATED" queryTableFieldId="13" headerRowDxfId="869" dataDxfId="868" headerRowCellStyle="Normal 2" dataCellStyle="Normal 2"/>
    <tableColumn id="14" uniqueName="14" name="TOTAL" queryTableFieldId="14" headerRowDxfId="867" dataDxfId="866" headerRowCellStyle="Normal 2" dataCellStyle="TXT2"/>
    <tableColumn id="15" uniqueName="15" name="AGE_LEVEL_ENG" queryTableFieldId="15" headerRowDxfId="865" dataDxfId="864" headerRowCellStyle="Normal 2" dataCellStyle="TXT1"/>
  </tableColumns>
  <tableStyleInfo name="VITAL" showFirstColumn="0" showLastColumn="0" showRowStripes="1" showColumnStripes="0"/>
</table>
</file>

<file path=xl/tables/table55.xml><?xml version="1.0" encoding="utf-8"?>
<table xmlns="http://schemas.openxmlformats.org/spreadsheetml/2006/main" id="50" name="Table_Default__XLS_TAB_29_3" displayName="Table_Default__XLS_TAB_29_3" ref="A9:O22" tableType="queryTable" headerRowCount="0" totalsRowShown="0" headerRowDxfId="863" dataDxfId="862" tableBorderDxfId="861" headerRowCellStyle="Normal 2" dataCellStyle="Normal 2">
  <tableColumns count="15">
    <tableColumn id="1" uniqueName="1" name="AGE_LEVEL_ARB" queryTableFieldId="1" headerRowDxfId="860" dataDxfId="859" headerRowCellStyle="Normal 2" dataCellStyle="TXT1"/>
    <tableColumn id="2" uniqueName="2" name="B_CONS_CNT" queryTableFieldId="2" headerRowDxfId="858" dataDxfId="857" headerRowCellStyle="Normal 2" dataCellStyle="Normal 2"/>
    <tableColumn id="3" uniqueName="3" name="BELOW_1_CNT" queryTableFieldId="3" headerRowDxfId="856" dataDxfId="855" headerRowCellStyle="Normal 2" dataCellStyle="Normal 2"/>
    <tableColumn id="4" uniqueName="4" name="CNT_1" queryTableFieldId="4" headerRowDxfId="854" dataDxfId="853" headerRowCellStyle="Normal 2" dataCellStyle="Normal 2"/>
    <tableColumn id="5" uniqueName="5" name="CNT_2" queryTableFieldId="5" headerRowDxfId="852" dataDxfId="851" headerRowCellStyle="Normal 2" dataCellStyle="Normal 2"/>
    <tableColumn id="6" uniqueName="6" name="CNT_3" queryTableFieldId="6" headerRowDxfId="850" dataDxfId="849" headerRowCellStyle="Normal 2" dataCellStyle="Normal 2"/>
    <tableColumn id="7" uniqueName="7" name="CNT_4" queryTableFieldId="7" headerRowDxfId="848" dataDxfId="847" headerRowCellStyle="Normal 2" dataCellStyle="Normal 2"/>
    <tableColumn id="8" uniqueName="8" name="CNT_5_9" queryTableFieldId="8" headerRowDxfId="846" dataDxfId="845" headerRowCellStyle="Normal 2" dataCellStyle="Normal 2"/>
    <tableColumn id="9" uniqueName="9" name="CNT_10_14" queryTableFieldId="9" headerRowDxfId="844" dataDxfId="843" headerRowCellStyle="Normal 2" dataCellStyle="Normal 2"/>
    <tableColumn id="10" uniqueName="10" name="CNT_15_19" queryTableFieldId="10" headerRowDxfId="842" dataDxfId="841" headerRowCellStyle="Normal 2" dataCellStyle="Normal 2"/>
    <tableColumn id="11" uniqueName="11" name="CNT_20_24" queryTableFieldId="11" headerRowDxfId="840" dataDxfId="839" headerRowCellStyle="Normal 2" dataCellStyle="Normal 2"/>
    <tableColumn id="12" uniqueName="12" name="CNT_UP_25" queryTableFieldId="12" headerRowDxfId="838" dataDxfId="837" headerRowCellStyle="Normal 2" dataCellStyle="Normal 2"/>
    <tableColumn id="13" uniqueName="13" name="NOT_STATED" queryTableFieldId="13" headerRowDxfId="836" dataDxfId="835" headerRowCellStyle="Normal 2" dataCellStyle="Normal 2"/>
    <tableColumn id="14" uniqueName="14" name="TOTAL" queryTableFieldId="14" headerRowDxfId="834" dataDxfId="833" headerRowCellStyle="Normal 2" dataCellStyle="TXT2"/>
    <tableColumn id="15" uniqueName="15" name="AGE_LEVEL_ENG" queryTableFieldId="15" headerRowDxfId="832" dataDxfId="831" headerRowCellStyle="Normal 2" dataCellStyle="TXT1"/>
  </tableColumns>
  <tableStyleInfo name="VITAL" showFirstColumn="0" showLastColumn="0" showRowStripes="1" showColumnStripes="0"/>
</table>
</file>

<file path=xl/tables/table56.xml><?xml version="1.0" encoding="utf-8"?>
<table xmlns="http://schemas.openxmlformats.org/spreadsheetml/2006/main" id="46" name="Table_Default__XLS_TAB_30_347" displayName="Table_Default__XLS_TAB_30_347" ref="A9:O19" tableType="queryTable" headerRowCount="0" totalsRowShown="0" headerRowDxfId="830" dataDxfId="829" tableBorderDxfId="828" headerRowCellStyle="Normal 2" dataCellStyle="Normal 2">
  <tableColumns count="15">
    <tableColumn id="1" uniqueName="1" name="AGE_LEVEL_ARB" queryTableFieldId="1" headerRowDxfId="827" dataDxfId="826" headerRowCellStyle="Normal 2" dataCellStyle="TXT1"/>
    <tableColumn id="2" uniqueName="2" name="B_CONS_CNT" queryTableFieldId="2" headerRowDxfId="825" dataDxfId="824" headerRowCellStyle="Normal 2" dataCellStyle="Normal 2"/>
    <tableColumn id="3" uniqueName="3" name="BELOW_1_CNT" queryTableFieldId="3" headerRowDxfId="823" dataDxfId="822" headerRowCellStyle="Normal 2" dataCellStyle="Normal 2"/>
    <tableColumn id="4" uniqueName="4" name="CNT_1" queryTableFieldId="4" headerRowDxfId="821" dataDxfId="820" headerRowCellStyle="Normal 2" dataCellStyle="Normal 2"/>
    <tableColumn id="5" uniqueName="5" name="CNT_2" queryTableFieldId="5" headerRowDxfId="819" dataDxfId="818" headerRowCellStyle="Normal 2" dataCellStyle="Normal 2"/>
    <tableColumn id="6" uniqueName="6" name="CNT_3" queryTableFieldId="6" headerRowDxfId="817" dataDxfId="816" headerRowCellStyle="Normal 2" dataCellStyle="Normal 2"/>
    <tableColumn id="7" uniqueName="7" name="CNT_4" queryTableFieldId="7" headerRowDxfId="815" dataDxfId="814" headerRowCellStyle="Normal 2" dataCellStyle="Normal 2"/>
    <tableColumn id="8" uniqueName="8" name="CNT_5_9" queryTableFieldId="8" headerRowDxfId="813" dataDxfId="812" headerRowCellStyle="Normal 2" dataCellStyle="Normal 2"/>
    <tableColumn id="9" uniqueName="9" name="CNT_10_14" queryTableFieldId="9" headerRowDxfId="811" dataDxfId="810" headerRowCellStyle="Normal 2" dataCellStyle="Normal 2"/>
    <tableColumn id="10" uniqueName="10" name="CNT_15_19" queryTableFieldId="10" headerRowDxfId="809" dataDxfId="808" headerRowCellStyle="Normal 2" dataCellStyle="Normal 2"/>
    <tableColumn id="11" uniqueName="11" name="CNT_20_24" queryTableFieldId="11" headerRowDxfId="807" dataDxfId="806" headerRowCellStyle="Normal 2" dataCellStyle="Normal 2"/>
    <tableColumn id="12" uniqueName="12" name="CNT_UP_25" queryTableFieldId="12" headerRowDxfId="805" dataDxfId="804" headerRowCellStyle="Normal 2" dataCellStyle="Normal 2"/>
    <tableColumn id="13" uniqueName="13" name="NOT_STATED" queryTableFieldId="13" headerRowDxfId="803" dataDxfId="802" headerRowCellStyle="Normal 2" dataCellStyle="Normal 2"/>
    <tableColumn id="14" uniqueName="14" name="TOTAL" queryTableFieldId="14" headerRowDxfId="801" dataDxfId="800" headerRowCellStyle="Normal 2" dataCellStyle="TXT2"/>
    <tableColumn id="15" uniqueName="15" name="AGE_LEVEL_ENG" queryTableFieldId="15" headerRowDxfId="799" dataDxfId="798" headerRowCellStyle="Normal 2" dataCellStyle="TXT1"/>
  </tableColumns>
  <tableStyleInfo name="VITAL" showFirstColumn="0" showLastColumn="0" showRowStripes="1" showColumnStripes="0"/>
</table>
</file>

<file path=xl/tables/table57.xml><?xml version="1.0" encoding="utf-8"?>
<table xmlns="http://schemas.openxmlformats.org/spreadsheetml/2006/main" id="43" name="Table_Default__XLS_TAB_30_344" displayName="Table_Default__XLS_TAB_30_344" ref="A9:O19" tableType="queryTable" headerRowCount="0" totalsRowShown="0" headerRowDxfId="797" dataDxfId="796" tableBorderDxfId="795" headerRowCellStyle="Normal 2" dataCellStyle="Normal 2">
  <tableColumns count="15">
    <tableColumn id="1" uniqueName="1" name="AGE_LEVEL_ARB" queryTableFieldId="1" headerRowDxfId="794" dataDxfId="793" headerRowCellStyle="Normal 2" dataCellStyle="TXT1"/>
    <tableColumn id="2" uniqueName="2" name="B_CONS_CNT" queryTableFieldId="2" headerRowDxfId="792" dataDxfId="791" headerRowCellStyle="Normal 2" dataCellStyle="Normal 2"/>
    <tableColumn id="3" uniqueName="3" name="BELOW_1_CNT" queryTableFieldId="3" headerRowDxfId="790" dataDxfId="789" headerRowCellStyle="Normal 2" dataCellStyle="Normal 2"/>
    <tableColumn id="4" uniqueName="4" name="CNT_1" queryTableFieldId="4" headerRowDxfId="788" dataDxfId="787" headerRowCellStyle="Normal 2" dataCellStyle="Normal 2"/>
    <tableColumn id="5" uniqueName="5" name="CNT_2" queryTableFieldId="5" headerRowDxfId="786" dataDxfId="785" headerRowCellStyle="Normal 2" dataCellStyle="Normal 2"/>
    <tableColumn id="6" uniqueName="6" name="CNT_3" queryTableFieldId="6" headerRowDxfId="784" dataDxfId="783" headerRowCellStyle="Normal 2" dataCellStyle="Normal 2"/>
    <tableColumn id="7" uniqueName="7" name="CNT_4" queryTableFieldId="7" headerRowDxfId="782" dataDxfId="781" headerRowCellStyle="Normal 2" dataCellStyle="Normal 2"/>
    <tableColumn id="8" uniqueName="8" name="CNT_5_9" queryTableFieldId="8" headerRowDxfId="780" dataDxfId="779" headerRowCellStyle="Normal 2" dataCellStyle="Normal 2"/>
    <tableColumn id="9" uniqueName="9" name="CNT_10_14" queryTableFieldId="9" headerRowDxfId="778" dataDxfId="777" headerRowCellStyle="Normal 2" dataCellStyle="Normal 2"/>
    <tableColumn id="10" uniqueName="10" name="CNT_15_19" queryTableFieldId="10" headerRowDxfId="776" dataDxfId="775" headerRowCellStyle="Normal 2" dataCellStyle="Normal 2"/>
    <tableColumn id="11" uniqueName="11" name="CNT_20_24" queryTableFieldId="11" headerRowDxfId="774" dataDxfId="773" headerRowCellStyle="Normal 2" dataCellStyle="Normal 2"/>
    <tableColumn id="12" uniqueName="12" name="CNT_UP_25" queryTableFieldId="12" headerRowDxfId="772" dataDxfId="771" headerRowCellStyle="Normal 2" dataCellStyle="Normal 2"/>
    <tableColumn id="13" uniqueName="13" name="NOT_STATED" queryTableFieldId="13" headerRowDxfId="770" dataDxfId="769" headerRowCellStyle="Normal 2" dataCellStyle="Normal 2"/>
    <tableColumn id="14" uniqueName="14" name="TOTAL" queryTableFieldId="14" headerRowDxfId="768" dataDxfId="767" headerRowCellStyle="Normal 2" dataCellStyle="TXT2"/>
    <tableColumn id="15" uniqueName="15" name="AGE_LEVEL_ENG" queryTableFieldId="15" headerRowDxfId="766" dataDxfId="765" headerRowCellStyle="Normal 2" dataCellStyle="TXT1"/>
  </tableColumns>
  <tableStyleInfo name="VITAL" showFirstColumn="0" showLastColumn="0" showRowStripes="1" showColumnStripes="0"/>
</table>
</file>

<file path=xl/tables/table58.xml><?xml version="1.0" encoding="utf-8"?>
<table xmlns="http://schemas.openxmlformats.org/spreadsheetml/2006/main" id="53" name="Table_Default__XLS_TAB_30_3" displayName="Table_Default__XLS_TAB_30_3" ref="A9:O19" tableType="queryTable" headerRowCount="0" totalsRowShown="0" headerRowDxfId="764" dataDxfId="763" tableBorderDxfId="762" headerRowCellStyle="Normal 2" dataCellStyle="Normal 2">
  <tableColumns count="15">
    <tableColumn id="1" uniqueName="1" name="AGE_LEVEL_ARB" queryTableFieldId="1" headerRowDxfId="761" dataDxfId="760" headerRowCellStyle="Normal 2" dataCellStyle="TXT1"/>
    <tableColumn id="2" uniqueName="2" name="B_CONS_CNT" queryTableFieldId="2" headerRowDxfId="759" dataDxfId="758" headerRowCellStyle="Normal 2" dataCellStyle="Normal 2"/>
    <tableColumn id="3" uniqueName="3" name="BELOW_1_CNT" queryTableFieldId="3" headerRowDxfId="757" dataDxfId="756" headerRowCellStyle="Normal 2" dataCellStyle="Normal 2"/>
    <tableColumn id="4" uniqueName="4" name="CNT_1" queryTableFieldId="4" headerRowDxfId="755" dataDxfId="754" headerRowCellStyle="Normal 2" dataCellStyle="Normal 2"/>
    <tableColumn id="5" uniqueName="5" name="CNT_2" queryTableFieldId="5" headerRowDxfId="753" dataDxfId="752" headerRowCellStyle="Normal 2" dataCellStyle="Normal 2"/>
    <tableColumn id="6" uniqueName="6" name="CNT_3" queryTableFieldId="6" headerRowDxfId="751" dataDxfId="750" headerRowCellStyle="Normal 2" dataCellStyle="Normal 2"/>
    <tableColumn id="7" uniqueName="7" name="CNT_4" queryTableFieldId="7" headerRowDxfId="749" dataDxfId="748" headerRowCellStyle="Normal 2" dataCellStyle="Normal 2"/>
    <tableColumn id="8" uniqueName="8" name="CNT_5_9" queryTableFieldId="8" headerRowDxfId="747" dataDxfId="746" headerRowCellStyle="Normal 2" dataCellStyle="Normal 2"/>
    <tableColumn id="9" uniqueName="9" name="CNT_10_14" queryTableFieldId="9" headerRowDxfId="745" dataDxfId="744" headerRowCellStyle="Normal 2" dataCellStyle="Normal 2"/>
    <tableColumn id="10" uniqueName="10" name="CNT_15_19" queryTableFieldId="10" headerRowDxfId="743" dataDxfId="742" headerRowCellStyle="Normal 2" dataCellStyle="Normal 2"/>
    <tableColumn id="11" uniqueName="11" name="CNT_20_24" queryTableFieldId="11" headerRowDxfId="741" dataDxfId="740" headerRowCellStyle="Normal 2" dataCellStyle="Normal 2"/>
    <tableColumn id="12" uniqueName="12" name="CNT_UP_25" queryTableFieldId="12" headerRowDxfId="739" dataDxfId="738" headerRowCellStyle="Normal 2" dataCellStyle="Normal 2"/>
    <tableColumn id="13" uniqueName="13" name="NOT_STATED" queryTableFieldId="13" headerRowDxfId="737" dataDxfId="736" headerRowCellStyle="Normal 2" dataCellStyle="Normal 2"/>
    <tableColumn id="14" uniqueName="14" name="TOTAL" queryTableFieldId="14" headerRowDxfId="735" dataDxfId="734" headerRowCellStyle="Normal 2" dataCellStyle="TXT2"/>
    <tableColumn id="15" uniqueName="15" name="AGE_LEVEL_ENG" queryTableFieldId="15" headerRowDxfId="733" dataDxfId="732" headerRowCellStyle="Normal 2" dataCellStyle="TXT1"/>
  </tableColumns>
  <tableStyleInfo name="VITAL" showFirstColumn="0" showLastColumn="0" showRowStripes="1" showColumnStripes="0"/>
</table>
</file>

<file path=xl/tables/table59.xml><?xml version="1.0" encoding="utf-8"?>
<table xmlns="http://schemas.openxmlformats.org/spreadsheetml/2006/main" id="54" name="Table_Default__XLS_TAB_31_1" displayName="Table_Default__XLS_TAB_31_1" ref="A9:N22" tableType="queryTable" headerRowCount="0" totalsRowShown="0" dataDxfId="731" tableBorderDxfId="730" dataCellStyle="Normal 2">
  <tableColumns count="14">
    <tableColumn id="1" uniqueName="1" name="AGE_LEVEL_ARB" queryTableFieldId="1" headerRowDxfId="729" dataDxfId="728" headerRowCellStyle="Normal 2" dataCellStyle="Normal 2"/>
    <tableColumn id="2" uniqueName="2" name="CNT_BELOW_20" queryTableFieldId="2" headerRowDxfId="727" dataDxfId="726" headerRowCellStyle="Normal 2" dataCellStyle="Normal 2"/>
    <tableColumn id="3" uniqueName="3" name="CNT_20_24" queryTableFieldId="3" headerRowDxfId="725" dataDxfId="724" headerRowCellStyle="Normal 2" dataCellStyle="Normal 2"/>
    <tableColumn id="4" uniqueName="4" name="CNT_25_29" queryTableFieldId="4" headerRowDxfId="723" dataDxfId="722" headerRowCellStyle="Normal 2" dataCellStyle="Normal 2"/>
    <tableColumn id="5" uniqueName="5" name="CNT_30_34" queryTableFieldId="5" headerRowDxfId="721" dataDxfId="720" headerRowCellStyle="Normal 2" dataCellStyle="Normal 2"/>
    <tableColumn id="6" uniqueName="6" name="CNT_35_39" queryTableFieldId="6" headerRowDxfId="719" dataDxfId="718" headerRowCellStyle="Normal 2" dataCellStyle="Normal 2"/>
    <tableColumn id="7" uniqueName="7" name="CNT_40_44" queryTableFieldId="7" headerRowDxfId="717" dataDxfId="716" headerRowCellStyle="Normal 2" dataCellStyle="Normal 2"/>
    <tableColumn id="8" uniqueName="8" name="CNT_45_49" queryTableFieldId="8" headerRowDxfId="715" dataDxfId="714" headerRowCellStyle="Normal 2" dataCellStyle="Normal 2"/>
    <tableColumn id="9" uniqueName="9" name="CNT_50_54" queryTableFieldId="9" headerRowDxfId="713" dataDxfId="712" headerRowCellStyle="Normal 2" dataCellStyle="Normal 2"/>
    <tableColumn id="10" uniqueName="10" name="CNT_55_59" queryTableFieldId="10" headerRowDxfId="711" dataDxfId="710" headerRowCellStyle="Normal 2" dataCellStyle="Normal 2"/>
    <tableColumn id="11" uniqueName="11" name="CNT_UP_60" queryTableFieldId="11" headerRowDxfId="709" dataDxfId="708" headerRowCellStyle="Normal 2" dataCellStyle="Normal 2"/>
    <tableColumn id="12" uniqueName="12" name="NOT_STATED" queryTableFieldId="12" headerRowDxfId="707" dataDxfId="706" headerRowCellStyle="Normal 2" dataCellStyle="Normal 2"/>
    <tableColumn id="13" uniqueName="13" name="TOTAL" queryTableFieldId="13" headerRowDxfId="705" dataDxfId="704" headerRowCellStyle="Normal 2" dataCellStyle="Normal 2"/>
    <tableColumn id="14" uniqueName="14" name="AGE_LEVEL_ENG" queryTableFieldId="14" headerRowDxfId="703" dataDxfId="702" headerRowCellStyle="Normal 2" dataCellStyle="Normal 2"/>
  </tableColumns>
  <tableStyleInfo name="VITAL" showFirstColumn="0" showLastColumn="0" showRowStripes="1" showColumnStripes="0"/>
</table>
</file>

<file path=xl/tables/table6.xml><?xml version="1.0" encoding="utf-8"?>
<table xmlns="http://schemas.openxmlformats.org/spreadsheetml/2006/main" id="2" name="Table_Default__XLS_TAB_8" displayName="Table_Default__XLS_TAB_8" ref="B8:H13" tableType="queryTable" headerRowCount="0" totalsRowShown="0" headerRowDxfId="2220" dataDxfId="2219" tableBorderDxfId="2218" headerRowCellStyle="Normal 2" dataCellStyle="Normal 2">
  <tableColumns count="7">
    <tableColumn id="1" uniqueName="1" name="QATAR" queryTableFieldId="1" headerRowDxfId="2217" dataDxfId="2216" headerRowCellStyle="Normal 2" dataCellStyle="Normal 2"/>
    <tableColumn id="2" uniqueName="2" name="OTHER_G_C_C_COUNTRIES" queryTableFieldId="2" headerRowDxfId="2215" dataDxfId="2214" headerRowCellStyle="Normal 2" dataCellStyle="Normal 2"/>
    <tableColumn id="3" uniqueName="3" name="OTHER_ARAB_COUNTRIES" queryTableFieldId="3" headerRowDxfId="2213" dataDxfId="2212" headerRowCellStyle="Normal 2" dataCellStyle="Normal 2"/>
    <tableColumn id="4" uniqueName="4" name="ASIAN_COUNTRIES" queryTableFieldId="4" headerRowDxfId="2211" dataDxfId="2210" headerRowCellStyle="Normal 2" dataCellStyle="Normal 2"/>
    <tableColumn id="5" uniqueName="5" name="EUROPEAN_COUNTRIES" queryTableFieldId="5" headerRowDxfId="2209" dataDxfId="2208" headerRowCellStyle="Normal 2" dataCellStyle="Normal 2"/>
    <tableColumn id="6" uniqueName="6" name="OTHER_COUNTRIES" queryTableFieldId="6" headerRowDxfId="2207" dataDxfId="2206" headerRowCellStyle="Normal 2" dataCellStyle="Normal 2"/>
    <tableColumn id="7" uniqueName="7" name="TOTAL" queryTableFieldId="7" headerRowDxfId="2205" dataDxfId="2204" headerRowCellStyle="Normal 2" dataCellStyle="Normal 2"/>
  </tableColumns>
  <tableStyleInfo name="VITAL" showFirstColumn="0" showLastColumn="0" showRowStripes="1" showColumnStripes="0"/>
</table>
</file>

<file path=xl/tables/table60.xml><?xml version="1.0" encoding="utf-8"?>
<table xmlns="http://schemas.openxmlformats.org/spreadsheetml/2006/main" id="55" name="Table_Default__XLS_TAB_31_2" displayName="Table_Default__XLS_TAB_31_2" ref="A9:N22" tableType="queryTable" headerRowCount="0" totalsRowShown="0" dataDxfId="701" tableBorderDxfId="700" dataCellStyle="Normal 2">
  <tableColumns count="14">
    <tableColumn id="1" uniqueName="1" name="AGE_LEVEL_ARB" queryTableFieldId="1" headerRowDxfId="699" dataDxfId="698" headerRowCellStyle="Normal 2" dataCellStyle="Normal 2"/>
    <tableColumn id="2" uniqueName="2" name="CNT_BELOW_20" queryTableFieldId="2" headerRowDxfId="697" dataDxfId="696" headerRowCellStyle="Normal 2" dataCellStyle="Normal 2"/>
    <tableColumn id="3" uniqueName="3" name="CNT_20_24" queryTableFieldId="3" headerRowDxfId="695" dataDxfId="694" headerRowCellStyle="Normal 2" dataCellStyle="Normal 2"/>
    <tableColumn id="4" uniqueName="4" name="CNT_25_29" queryTableFieldId="4" headerRowDxfId="693" dataDxfId="692" headerRowCellStyle="Normal 2" dataCellStyle="Normal 2"/>
    <tableColumn id="5" uniqueName="5" name="CNT_30_34" queryTableFieldId="5" headerRowDxfId="691" dataDxfId="690" headerRowCellStyle="Normal 2" dataCellStyle="Normal 2"/>
    <tableColumn id="6" uniqueName="6" name="CNT_35_39" queryTableFieldId="6" headerRowDxfId="689" dataDxfId="688" headerRowCellStyle="Normal 2" dataCellStyle="Normal 2"/>
    <tableColumn id="7" uniqueName="7" name="CNT_40_44" queryTableFieldId="7" headerRowDxfId="687" dataDxfId="686" headerRowCellStyle="Normal 2" dataCellStyle="Normal 2"/>
    <tableColumn id="8" uniqueName="8" name="CNT_45_49" queryTableFieldId="8" headerRowDxfId="685" dataDxfId="684" headerRowCellStyle="Normal 2" dataCellStyle="Normal 2"/>
    <tableColumn id="9" uniqueName="9" name="CNT_50_54" queryTableFieldId="9" headerRowDxfId="683" dataDxfId="682" headerRowCellStyle="Normal 2" dataCellStyle="Normal 2"/>
    <tableColumn id="10" uniqueName="10" name="CNT_55_59" queryTableFieldId="10" headerRowDxfId="681" dataDxfId="680" headerRowCellStyle="Normal 2" dataCellStyle="Normal 2"/>
    <tableColumn id="11" uniqueName="11" name="CNT_UP_60" queryTableFieldId="11" headerRowDxfId="679" dataDxfId="678" headerRowCellStyle="Normal 2" dataCellStyle="Normal 2"/>
    <tableColumn id="12" uniqueName="12" name="NOT_STATED" queryTableFieldId="12" headerRowDxfId="677" dataDxfId="676" headerRowCellStyle="Normal 2" dataCellStyle="Normal 2"/>
    <tableColumn id="13" uniqueName="13" name="TOTAL" queryTableFieldId="13" headerRowDxfId="675" dataDxfId="674" headerRowCellStyle="Normal 2" dataCellStyle="Normal 2"/>
    <tableColumn id="14" uniqueName="14" name="AGE_LEVEL_ENG" queryTableFieldId="14" headerRowDxfId="673" dataDxfId="672" headerRowCellStyle="Normal 2" dataCellStyle="Normal 2"/>
  </tableColumns>
  <tableStyleInfo name="VITAL" showFirstColumn="0" showLastColumn="0" showRowStripes="1" showColumnStripes="0"/>
</table>
</file>

<file path=xl/tables/table61.xml><?xml version="1.0" encoding="utf-8"?>
<table xmlns="http://schemas.openxmlformats.org/spreadsheetml/2006/main" id="56" name="Table_Default__XLS_TAB_31_3" displayName="Table_Default__XLS_TAB_31_3" ref="A9:N22" tableType="queryTable" headerRowCount="0" totalsRowShown="0" dataDxfId="671" tableBorderDxfId="670" dataCellStyle="Normal 2">
  <tableColumns count="14">
    <tableColumn id="1" uniqueName="1" name="AGE_LEVEL_ARB" queryTableFieldId="1" headerRowDxfId="669" dataDxfId="668" headerRowCellStyle="Normal 2" dataCellStyle="Normal 2"/>
    <tableColumn id="2" uniqueName="2" name="CNT_BELOW_20" queryTableFieldId="2" headerRowDxfId="667" dataDxfId="666" headerRowCellStyle="Normal 2" dataCellStyle="Normal 2"/>
    <tableColumn id="3" uniqueName="3" name="CNT_20_24" queryTableFieldId="3" headerRowDxfId="665" dataDxfId="664" headerRowCellStyle="Normal 2" dataCellStyle="Normal 2"/>
    <tableColumn id="4" uniqueName="4" name="CNT_25_29" queryTableFieldId="4" headerRowDxfId="663" dataDxfId="662" headerRowCellStyle="Normal 2" dataCellStyle="Normal 2"/>
    <tableColumn id="5" uniqueName="5" name="CNT_30_34" queryTableFieldId="5" headerRowDxfId="661" dataDxfId="660" headerRowCellStyle="Normal 2" dataCellStyle="Normal 2"/>
    <tableColumn id="6" uniqueName="6" name="CNT_35_39" queryTableFieldId="6" headerRowDxfId="659" dataDxfId="658" headerRowCellStyle="Normal 2" dataCellStyle="Normal 2"/>
    <tableColumn id="7" uniqueName="7" name="CNT_40_44" queryTableFieldId="7" headerRowDxfId="657" dataDxfId="656" headerRowCellStyle="Normal 2" dataCellStyle="Normal 2"/>
    <tableColumn id="8" uniqueName="8" name="CNT_45_49" queryTableFieldId="8" headerRowDxfId="655" dataDxfId="654" headerRowCellStyle="Normal 2" dataCellStyle="Normal 2"/>
    <tableColumn id="9" uniqueName="9" name="CNT_50_54" queryTableFieldId="9" headerRowDxfId="653" dataDxfId="652" headerRowCellStyle="Normal 2" dataCellStyle="Normal 2"/>
    <tableColumn id="10" uniqueName="10" name="CNT_55_59" queryTableFieldId="10" headerRowDxfId="651" dataDxfId="650" headerRowCellStyle="Normal 2" dataCellStyle="Normal 2"/>
    <tableColumn id="11" uniqueName="11" name="CNT_UP_60" queryTableFieldId="11" headerRowDxfId="649" dataDxfId="648" headerRowCellStyle="Normal 2" dataCellStyle="Normal 2"/>
    <tableColumn id="12" uniqueName="12" name="NOT_STATED" queryTableFieldId="12" headerRowDxfId="647" dataDxfId="646" headerRowCellStyle="Normal 2" dataCellStyle="Normal 2"/>
    <tableColumn id="13" uniqueName="13" name="TOTAL" queryTableFieldId="13" headerRowDxfId="645" dataDxfId="644" headerRowCellStyle="Normal 2" dataCellStyle="Normal 2"/>
    <tableColumn id="14" uniqueName="14" name="AGE_LEVEL_ENG" queryTableFieldId="14" headerRowDxfId="643" dataDxfId="642" headerRowCellStyle="Normal 2" dataCellStyle="Normal 2"/>
  </tableColumns>
  <tableStyleInfo name="VITAL" showFirstColumn="0" showLastColumn="0" showRowStripes="1" showColumnStripes="0"/>
</table>
</file>

<file path=xl/tables/table62.xml><?xml version="1.0" encoding="utf-8"?>
<table xmlns="http://schemas.openxmlformats.org/spreadsheetml/2006/main" id="57" name="Table_Default__XLS_TAB_32" displayName="Table_Default__XLS_TAB_32" ref="A8:Q13" tableType="queryTable" headerRowCount="0" totalsRowShown="0" dataDxfId="641" tableBorderDxfId="640" dataCellStyle="Normal 2">
  <tableColumns count="17">
    <tableColumn id="1" uniqueName="1" name="AREA_ARB" queryTableFieldId="1" headerRowDxfId="639" dataDxfId="638" headerRowCellStyle="Normal 2" dataCellStyle="Normal 2"/>
    <tableColumn id="2" uniqueName="2" name="CNT_BELOW_20" queryTableFieldId="2" headerRowDxfId="637" dataDxfId="636" headerRowCellStyle="Normal 2" dataCellStyle="Normal 2"/>
    <tableColumn id="3" uniqueName="3" name="CNT_20_24" queryTableFieldId="3" headerRowDxfId="635" dataDxfId="634" headerRowCellStyle="Normal 2" dataCellStyle="Normal 2"/>
    <tableColumn id="4" uniqueName="4" name="CNT_25_29" queryTableFieldId="4" headerRowDxfId="633" dataDxfId="632" headerRowCellStyle="Normal 2" dataCellStyle="Normal 2"/>
    <tableColumn id="5" uniqueName="5" name="CNT_30_34" queryTableFieldId="5" headerRowDxfId="631" dataDxfId="630" headerRowCellStyle="Normal 2" dataCellStyle="Normal 2"/>
    <tableColumn id="6" uniqueName="6" name="CNT_35_39" queryTableFieldId="6" headerRowDxfId="629" dataDxfId="628" headerRowCellStyle="Normal 2" dataCellStyle="Normal 2"/>
    <tableColumn id="7" uniqueName="7" name="CNT_40_44" queryTableFieldId="7" headerRowDxfId="627" dataDxfId="626" headerRowCellStyle="Normal 2" dataCellStyle="Normal 2"/>
    <tableColumn id="8" uniqueName="8" name="CNT_45_49" queryTableFieldId="8" headerRowDxfId="625" dataDxfId="624" headerRowCellStyle="Normal 2" dataCellStyle="Normal 2"/>
    <tableColumn id="9" uniqueName="9" name="CNT_50_54" queryTableFieldId="9" headerRowDxfId="623" dataDxfId="622" headerRowCellStyle="Normal 2" dataCellStyle="Normal 2"/>
    <tableColumn id="10" uniqueName="10" name="CNT_55_59" queryTableFieldId="10" headerRowDxfId="621" dataDxfId="620" headerRowCellStyle="Normal 2" dataCellStyle="Normal 2"/>
    <tableColumn id="11" uniqueName="11" name="CNT_60_64" queryTableFieldId="11" headerRowDxfId="619" dataDxfId="618" headerRowCellStyle="Normal 2" dataCellStyle="Normal 2"/>
    <tableColumn id="12" uniqueName="12" name="CNT_65_69" queryTableFieldId="12" headerRowDxfId="617" dataDxfId="616" headerRowCellStyle="Normal 2" dataCellStyle="Normal 2"/>
    <tableColumn id="13" uniqueName="13" name="CNT_70_74" queryTableFieldId="13" headerRowDxfId="615" dataDxfId="614" headerRowCellStyle="Normal 2" dataCellStyle="Normal 2"/>
    <tableColumn id="14" uniqueName="14" name="CNT_UP_75" queryTableFieldId="14" headerRowDxfId="613" dataDxfId="612" headerRowCellStyle="Normal 2" dataCellStyle="Normal 2"/>
    <tableColumn id="15" uniqueName="15" name="NOT_STATED" queryTableFieldId="15" headerRowDxfId="611" dataDxfId="610" headerRowCellStyle="Normal 2" dataCellStyle="Normal 2"/>
    <tableColumn id="16" uniqueName="16" name="TOTAL" queryTableFieldId="16" headerRowDxfId="609" dataDxfId="608" headerRowCellStyle="Normal 2" dataCellStyle="Normal 2"/>
    <tableColumn id="17" uniqueName="17" name="AREA_ENG" queryTableFieldId="17" headerRowDxfId="607" dataDxfId="606" headerRowCellStyle="Normal 2" dataCellStyle="TXT1"/>
  </tableColumns>
  <tableStyleInfo name="VITAL" showFirstColumn="0" showLastColumn="0" showRowStripes="1" showColumnStripes="0"/>
</table>
</file>

<file path=xl/tables/table63.xml><?xml version="1.0" encoding="utf-8"?>
<table xmlns="http://schemas.openxmlformats.org/spreadsheetml/2006/main" id="58" name="Table_Default__XLS_TAB_33" displayName="Table_Default__XLS_TAB_33" ref="A8:N13" tableType="queryTable" headerRowCount="0" totalsRowShown="0" dataDxfId="605" tableBorderDxfId="604" dataCellStyle="Normal 2">
  <tableColumns count="14">
    <tableColumn id="1" uniqueName="1" name="AREA_ARB" queryTableFieldId="1" headerRowDxfId="603" dataDxfId="602" headerRowCellStyle="Normal 2" dataCellStyle="Normal 2"/>
    <tableColumn id="2" uniqueName="2" name="CNT_BELOW_20" queryTableFieldId="2" headerRowDxfId="601" dataDxfId="600" headerRowCellStyle="Normal 2" dataCellStyle="Normal 2"/>
    <tableColumn id="3" uniqueName="3" name="CNT_20_24" queryTableFieldId="3" headerRowDxfId="599" dataDxfId="598" headerRowCellStyle="Normal 2" dataCellStyle="Normal 2"/>
    <tableColumn id="4" uniqueName="4" name="CNT_25_29" queryTableFieldId="4" headerRowDxfId="597" dataDxfId="596" headerRowCellStyle="Normal 2" dataCellStyle="Normal 2"/>
    <tableColumn id="5" uniqueName="5" name="CNT_30_34" queryTableFieldId="5" headerRowDxfId="595" dataDxfId="594" headerRowCellStyle="Normal 2" dataCellStyle="Normal 2"/>
    <tableColumn id="6" uniqueName="6" name="CNT_35_39" queryTableFieldId="6" headerRowDxfId="593" dataDxfId="592" headerRowCellStyle="Normal 2" dataCellStyle="Normal 2"/>
    <tableColumn id="7" uniqueName="7" name="CNT_40_44" queryTableFieldId="7" headerRowDxfId="591" dataDxfId="590" headerRowCellStyle="Normal 2" dataCellStyle="Normal 2"/>
    <tableColumn id="8" uniqueName="8" name="CNT_45_49" queryTableFieldId="8" headerRowDxfId="589" dataDxfId="588" headerRowCellStyle="Normal 2" dataCellStyle="Normal 2"/>
    <tableColumn id="9" uniqueName="9" name="CNT_50_54" queryTableFieldId="9" headerRowDxfId="587" dataDxfId="586" headerRowCellStyle="Normal 2" dataCellStyle="Normal 2"/>
    <tableColumn id="10" uniqueName="10" name="CNT_55_59" queryTableFieldId="10" headerRowDxfId="585" dataDxfId="584" headerRowCellStyle="Normal 2" dataCellStyle="Normal 2"/>
    <tableColumn id="11" uniqueName="11" name="CNT_UP_60" queryTableFieldId="11" headerRowDxfId="583" dataDxfId="582" headerRowCellStyle="Normal 2" dataCellStyle="Normal 2"/>
    <tableColumn id="12" uniqueName="12" name="NOT_STATED" queryTableFieldId="12" headerRowDxfId="581" dataDxfId="580" headerRowCellStyle="Normal 2" dataCellStyle="Normal 2"/>
    <tableColumn id="13" uniqueName="13" name="TOTAL" queryTableFieldId="13" headerRowDxfId="579" dataDxfId="578" headerRowCellStyle="Normal 2" dataCellStyle="Normal 2"/>
    <tableColumn id="14" uniqueName="14" name="AREA_ENG" queryTableFieldId="14" headerRowDxfId="577" dataDxfId="576" headerRowCellStyle="Normal 2" dataCellStyle="TXT1"/>
  </tableColumns>
  <tableStyleInfo name="VITAL" showFirstColumn="0" showLastColumn="0" showRowStripes="1" showColumnStripes="0"/>
</table>
</file>

<file path=xl/tables/table64.xml><?xml version="1.0" encoding="utf-8"?>
<table xmlns="http://schemas.openxmlformats.org/spreadsheetml/2006/main" id="59" name="Table_Default__XLS_TAB_34" displayName="Table_Default__XLS_TAB_34" ref="B8:H13" tableType="queryTable" headerRowCount="0" totalsRowShown="0" headerRowDxfId="575" dataDxfId="574" tableBorderDxfId="573" headerRowCellStyle="Normal 2" dataCellStyle="Normal 2">
  <tableColumns count="7">
    <tableColumn id="1" uniqueName="1" name="QATAR" queryTableFieldId="1" headerRowDxfId="572" dataDxfId="571" headerRowCellStyle="Normal 2" dataCellStyle="Normal 2"/>
    <tableColumn id="2" uniqueName="2" name="OTHER_G_C_C_COUNTRIES" queryTableFieldId="2" headerRowDxfId="570" dataDxfId="569" headerRowCellStyle="Normal 2" dataCellStyle="Normal 2"/>
    <tableColumn id="3" uniqueName="3" name="OTHER_ARAB_COUNTRIES" queryTableFieldId="3" headerRowDxfId="568" dataDxfId="567" headerRowCellStyle="Normal 2" dataCellStyle="Normal 2"/>
    <tableColumn id="4" uniqueName="4" name="ASIAN_COUNTRIES" queryTableFieldId="4" headerRowDxfId="566" dataDxfId="565" headerRowCellStyle="Normal 2" dataCellStyle="Normal 2"/>
    <tableColumn id="5" uniqueName="5" name="EUROPEAN_COUNTRIES" queryTableFieldId="5" headerRowDxfId="564" dataDxfId="563" headerRowCellStyle="Normal 2" dataCellStyle="Normal 2"/>
    <tableColumn id="6" uniqueName="6" name="OTHER_COUNTRIES" queryTableFieldId="6" headerRowDxfId="562" dataDxfId="561" headerRowCellStyle="Normal 2" dataCellStyle="Normal 2"/>
    <tableColumn id="7" uniqueName="7" name="TOTAL" queryTableFieldId="7" headerRowDxfId="560" dataDxfId="559" headerRowCellStyle="Normal 2" dataCellStyle="TXT2"/>
  </tableColumns>
  <tableStyleInfo name="VITAL" showFirstColumn="0" showLastColumn="0" showRowStripes="1" showColumnStripes="0"/>
</table>
</file>

<file path=xl/tables/table65.xml><?xml version="1.0" encoding="utf-8"?>
<table xmlns="http://schemas.openxmlformats.org/spreadsheetml/2006/main" id="60" name="Table_Default__XLS_TAB_35" displayName="Table_Default__XLS_TAB_35" ref="A9:N22" tableType="queryTable" headerRowCount="0" totalsRowShown="0" headerRowDxfId="558" dataDxfId="557" tableBorderDxfId="556" headerRowCellStyle="Normal 2" dataCellStyle="Normal 2">
  <tableColumns count="14">
    <tableColumn id="1" uniqueName="1" name="AGE_LEVEL_ARB" queryTableFieldId="1" headerRowDxfId="555" dataDxfId="554" headerRowCellStyle="Normal 2" dataCellStyle="Normal 2"/>
    <tableColumn id="2" uniqueName="2" name="Q_NONE_CNT" queryTableFieldId="2" headerRowDxfId="553" dataDxfId="552" headerRowCellStyle="Normal 2" dataCellStyle="Normal 2"/>
    <tableColumn id="3" uniqueName="3" name="Q_1_CNT" queryTableFieldId="3" headerRowDxfId="551" dataDxfId="550" headerRowCellStyle="Normal 2" dataCellStyle="Normal 2"/>
    <tableColumn id="4" uniqueName="4" name="Q_2_CNT" queryTableFieldId="4" headerRowDxfId="549" dataDxfId="548" headerRowCellStyle="Normal 2" dataCellStyle="Normal 2"/>
    <tableColumn id="5" uniqueName="5" name="Q_4_CNT" queryTableFieldId="5" headerRowDxfId="547" dataDxfId="546" headerRowCellStyle="Normal 2" dataCellStyle="Normal 2"/>
    <tableColumn id="6" uniqueName="6" name="Q_NOT_STATED" queryTableFieldId="6" headerRowDxfId="545" dataDxfId="544" headerRowCellStyle="Normal 2" dataCellStyle="Normal 2"/>
    <tableColumn id="7" uniqueName="7" name="Q_TOT_CNT" queryTableFieldId="7" headerRowDxfId="543" dataDxfId="542" headerRowCellStyle="Normal 2" dataCellStyle="Normal 2"/>
    <tableColumn id="8" uniqueName="8" name="NQ_NONE_CNT" queryTableFieldId="8" headerRowDxfId="541" dataDxfId="540" headerRowCellStyle="Normal 2" dataCellStyle="Normal 2"/>
    <tableColumn id="9" uniqueName="9" name="NQ_1_CNT" queryTableFieldId="9" headerRowDxfId="539" dataDxfId="538" headerRowCellStyle="Normal 2" dataCellStyle="Normal 2"/>
    <tableColumn id="10" uniqueName="10" name="NQ_2_CNT" queryTableFieldId="10" headerRowDxfId="537" dataDxfId="536" headerRowCellStyle="Normal 2" dataCellStyle="Normal 2"/>
    <tableColumn id="11" uniqueName="11" name="NQ_4_CNT" queryTableFieldId="11" headerRowDxfId="535" dataDxfId="534" headerRowCellStyle="Normal 2" dataCellStyle="Normal 2"/>
    <tableColumn id="12" uniqueName="12" name="NQ_NOT_STATED" queryTableFieldId="12" headerRowDxfId="533" dataDxfId="532" headerRowCellStyle="Normal 2" dataCellStyle="Normal 2"/>
    <tableColumn id="13" uniqueName="13" name="NQ_TOT_CNT" queryTableFieldId="13" headerRowDxfId="531" dataDxfId="530" headerRowCellStyle="Normal 2" dataCellStyle="Normal 2"/>
    <tableColumn id="14" uniqueName="14" name="AGE_LEVEL_ENG" queryTableFieldId="14" headerRowDxfId="529" dataDxfId="528" headerRowCellStyle="Normal 2" dataCellStyle="Normal 2"/>
  </tableColumns>
  <tableStyleInfo name="VITAL" showFirstColumn="0" showLastColumn="0" showRowStripes="1" showColumnStripes="0"/>
</table>
</file>

<file path=xl/tables/table66.xml><?xml version="1.0" encoding="utf-8"?>
<table xmlns="http://schemas.openxmlformats.org/spreadsheetml/2006/main" id="61" name="Table_Default__XLS_TAB_36_1" displayName="Table_Default__XLS_TAB_36_1" ref="B9:J16" tableType="queryTable" headerRowCount="0" totalsRowShown="0" headerRowDxfId="527" dataDxfId="526" tableBorderDxfId="525" headerRowCellStyle="Normal 2" dataCellStyle="Normal 2">
  <tableColumns count="9">
    <tableColumn id="1" uniqueName="1" name="ILLITERATE_CNT" queryTableFieldId="1" headerRowDxfId="524" dataDxfId="523" headerRowCellStyle="Normal 2" dataCellStyle="Normal 2"/>
    <tableColumn id="2" uniqueName="2" name="READ_AND_WRITE_CNT" queryTableFieldId="2" headerRowDxfId="522" dataDxfId="521" headerRowCellStyle="Normal 2" dataCellStyle="Normal 2"/>
    <tableColumn id="3" uniqueName="3" name="PRIMARY_CNT" queryTableFieldId="3" headerRowDxfId="520" dataDxfId="519" headerRowCellStyle="Normal 2" dataCellStyle="Normal 2"/>
    <tableColumn id="4" uniqueName="4" name="PREPARATORY_CNT" queryTableFieldId="4" headerRowDxfId="518" dataDxfId="517" headerRowCellStyle="Normal 2" dataCellStyle="Normal 2"/>
    <tableColumn id="5" uniqueName="5" name="SECONDARY_CNT" queryTableFieldId="5" headerRowDxfId="516" dataDxfId="515" headerRowCellStyle="Normal 2" dataCellStyle="Normal 2"/>
    <tableColumn id="6" uniqueName="6" name="PRE_UNIVERSITY_CNT" queryTableFieldId="6" headerRowDxfId="514" dataDxfId="513" headerRowCellStyle="Normal 2" dataCellStyle="Normal 2"/>
    <tableColumn id="7" uniqueName="7" name="UNIV_ABOVE_CNT" queryTableFieldId="7" headerRowDxfId="512" dataDxfId="511" headerRowCellStyle="Normal 2" dataCellStyle="Normal 2"/>
    <tableColumn id="8" uniqueName="8" name="NOT_STATED_CNT" queryTableFieldId="8" headerRowDxfId="510" dataDxfId="509" headerRowCellStyle="Normal 2" dataCellStyle="Normal 2"/>
    <tableColumn id="9" uniqueName="9" name="TOTAL" queryTableFieldId="9" headerRowDxfId="508" dataDxfId="507" headerRowCellStyle="Normal 2" dataCellStyle="Normal 2"/>
  </tableColumns>
  <tableStyleInfo name="VITAL" showFirstColumn="0" showLastColumn="0" showRowStripes="1" showColumnStripes="0"/>
</table>
</file>

<file path=xl/tables/table67.xml><?xml version="1.0" encoding="utf-8"?>
<table xmlns="http://schemas.openxmlformats.org/spreadsheetml/2006/main" id="62" name="Table_Default__XLS_TAB_36_2" displayName="Table_Default__XLS_TAB_36_2" ref="B9:J16" tableType="queryTable" headerRowCount="0" totalsRowShown="0" headerRowDxfId="506" dataDxfId="505" tableBorderDxfId="504" headerRowCellStyle="Normal 2" dataCellStyle="Normal 2">
  <tableColumns count="9">
    <tableColumn id="1" uniqueName="1" name="ILLITERATE_CNT" queryTableFieldId="1" headerRowDxfId="503" dataDxfId="502" headerRowCellStyle="Normal 2" dataCellStyle="Normal 2"/>
    <tableColumn id="2" uniqueName="2" name="READ_AND_WRITE_CNT" queryTableFieldId="2" headerRowDxfId="501" dataDxfId="500" headerRowCellStyle="Normal 2" dataCellStyle="Normal 2"/>
    <tableColumn id="3" uniqueName="3" name="PRIMARY_CNT" queryTableFieldId="3" headerRowDxfId="499" dataDxfId="498" headerRowCellStyle="Normal 2" dataCellStyle="Normal 2"/>
    <tableColumn id="4" uniqueName="4" name="PREPARATORY_CNT" queryTableFieldId="4" headerRowDxfId="497" dataDxfId="496" headerRowCellStyle="Normal 2" dataCellStyle="Normal 2"/>
    <tableColumn id="5" uniqueName="5" name="SECONDARY_CNT" queryTableFieldId="5" headerRowDxfId="495" dataDxfId="494" headerRowCellStyle="Normal 2" dataCellStyle="Normal 2"/>
    <tableColumn id="6" uniqueName="6" name="PRE_UNIVERSITY_CNT" queryTableFieldId="6" headerRowDxfId="493" dataDxfId="492" headerRowCellStyle="Normal 2" dataCellStyle="Normal 2"/>
    <tableColumn id="7" uniqueName="7" name="UNIV_ABOVE_CNT" queryTableFieldId="7" headerRowDxfId="491" dataDxfId="490" headerRowCellStyle="Normal 2" dataCellStyle="Normal 2"/>
    <tableColumn id="8" uniqueName="8" name="NOT_STATED_CNT" queryTableFieldId="8" headerRowDxfId="489" dataDxfId="488" headerRowCellStyle="Normal 2" dataCellStyle="Normal 2"/>
    <tableColumn id="9" uniqueName="9" name="TOTAL" queryTableFieldId="9" headerRowDxfId="487" dataDxfId="486" headerRowCellStyle="Normal 2" dataCellStyle="Normal 2"/>
  </tableColumns>
  <tableStyleInfo name="VITAL" showFirstColumn="0" showLastColumn="0" showRowStripes="1" showColumnStripes="0"/>
</table>
</file>

<file path=xl/tables/table68.xml><?xml version="1.0" encoding="utf-8"?>
<table xmlns="http://schemas.openxmlformats.org/spreadsheetml/2006/main" id="63" name="Table_Default__XLS_TAB_36_3" displayName="Table_Default__XLS_TAB_36_3" ref="B9:J16" tableType="queryTable" headerRowCount="0" totalsRowShown="0" headerRowDxfId="485" dataDxfId="484" tableBorderDxfId="483" headerRowCellStyle="Normal 2" dataCellStyle="Normal 2">
  <tableColumns count="9">
    <tableColumn id="1" uniqueName="1" name="ILLITERATE_CNT" queryTableFieldId="1" headerRowDxfId="482" dataDxfId="481" headerRowCellStyle="Normal 2" dataCellStyle="Normal 2"/>
    <tableColumn id="2" uniqueName="2" name="READ_AND_WRITE_CNT" queryTableFieldId="2" headerRowDxfId="480" dataDxfId="479" headerRowCellStyle="Normal 2" dataCellStyle="Normal 2"/>
    <tableColumn id="3" uniqueName="3" name="PRIMARY_CNT" queryTableFieldId="3" headerRowDxfId="478" dataDxfId="477" headerRowCellStyle="Normal 2" dataCellStyle="Normal 2"/>
    <tableColumn id="4" uniqueName="4" name="PREPARATORY_CNT" queryTableFieldId="4" headerRowDxfId="476" dataDxfId="475" headerRowCellStyle="Normal 2" dataCellStyle="Normal 2"/>
    <tableColumn id="5" uniqueName="5" name="SECONDARY_CNT" queryTableFieldId="5" headerRowDxfId="474" dataDxfId="473" headerRowCellStyle="Normal 2" dataCellStyle="Normal 2"/>
    <tableColumn id="6" uniqueName="6" name="PRE_UNIVERSITY_CNT" queryTableFieldId="6" headerRowDxfId="472" dataDxfId="471" headerRowCellStyle="Normal 2" dataCellStyle="Normal 2"/>
    <tableColumn id="7" uniqueName="7" name="UNIV_ABOVE_CNT" queryTableFieldId="7" headerRowDxfId="470" dataDxfId="469" headerRowCellStyle="Normal 2" dataCellStyle="Normal 2"/>
    <tableColumn id="8" uniqueName="8" name="NOT_STATED_CNT" queryTableFieldId="8" headerRowDxfId="468" dataDxfId="467" headerRowCellStyle="Normal 2" dataCellStyle="Normal 2"/>
    <tableColumn id="9" uniqueName="9" name="TOTAL" queryTableFieldId="9" headerRowDxfId="466" dataDxfId="465" headerRowCellStyle="Normal 2" dataCellStyle="Normal 2"/>
  </tableColumns>
  <tableStyleInfo name="VITAL" showFirstColumn="0" showLastColumn="0" showRowStripes="1" showColumnStripes="0"/>
</table>
</file>

<file path=xl/tables/table69.xml><?xml version="1.0" encoding="utf-8"?>
<table xmlns="http://schemas.openxmlformats.org/spreadsheetml/2006/main" id="64" name="Table_Default__XLS_TAB_37_1" displayName="Table_Default__XLS_TAB_37_1" ref="B9:J19" tableType="queryTable" headerRowCount="0" totalsRowShown="0" headerRowDxfId="464" dataDxfId="463" tableBorderDxfId="462" headerRowCellStyle="Normal 2" dataCellStyle="Normal 2">
  <tableColumns count="9">
    <tableColumn id="1" uniqueName="1" name="ILLITERATE_CNT" queryTableFieldId="1" headerRowDxfId="461" dataDxfId="460" headerRowCellStyle="Normal 2" dataCellStyle="Normal 2"/>
    <tableColumn id="2" uniqueName="2" name="READ_AND_WRITE_CNT" queryTableFieldId="2" headerRowDxfId="459" dataDxfId="458" headerRowCellStyle="Normal 2" dataCellStyle="Normal 2"/>
    <tableColumn id="3" uniqueName="3" name="PRIMARY_CNT" queryTableFieldId="3" headerRowDxfId="457" dataDxfId="456" headerRowCellStyle="Normal 2" dataCellStyle="Normal 2"/>
    <tableColumn id="4" uniqueName="4" name="PREPARATORY_CNT" queryTableFieldId="4" headerRowDxfId="455" dataDxfId="454" headerRowCellStyle="Normal 2" dataCellStyle="Normal 2"/>
    <tableColumn id="5" uniqueName="5" name="SECONDARY_CNT" queryTableFieldId="5" headerRowDxfId="453" dataDxfId="452" headerRowCellStyle="Normal 2" dataCellStyle="Normal 2"/>
    <tableColumn id="6" uniqueName="6" name="PRE_UNIVERSITY_CNT" queryTableFieldId="6" headerRowDxfId="451" dataDxfId="450" headerRowCellStyle="Normal 2" dataCellStyle="Normal 2"/>
    <tableColumn id="7" uniqueName="7" name="UNIV_ABOVE_CNT" queryTableFieldId="7" headerRowDxfId="449" dataDxfId="448" headerRowCellStyle="Normal 2" dataCellStyle="Normal 2"/>
    <tableColumn id="8" uniqueName="8" name="NOT_STATED_CNT" queryTableFieldId="8" headerRowDxfId="447" dataDxfId="446" headerRowCellStyle="Normal 2" dataCellStyle="Normal 2"/>
    <tableColumn id="9" uniqueName="9" name="TOTAL" queryTableFieldId="9" headerRowDxfId="445" dataDxfId="444" headerRowCellStyle="Normal 2" dataCellStyle="Normal 2"/>
  </tableColumns>
  <tableStyleInfo name="VITAL" showFirstColumn="0" showLastColumn="0" showRowStripes="1" showColumnStripes="0"/>
</table>
</file>

<file path=xl/tables/table7.xml><?xml version="1.0" encoding="utf-8"?>
<table xmlns="http://schemas.openxmlformats.org/spreadsheetml/2006/main" id="5" name="Table_Default__XLS_TAB_9" displayName="Table_Default__XLS_TAB_9" ref="A8:Q14" tableType="queryTable" headerRowCount="0" totalsRowCount="1" headerRowDxfId="2203" dataDxfId="2202" totalsRowDxfId="2200" tableBorderDxfId="2201" totalsRowBorderDxfId="2199">
  <tableColumns count="17">
    <tableColumn id="1" uniqueName="1" name="NAT_DESC_ARB" totalsRowLabel="المجموع" queryTableFieldId="1" headerRowDxfId="2198" dataDxfId="2197" totalsRowDxfId="2196" headerRowCellStyle="Normal 2" dataCellStyle="Normal 2"/>
    <tableColumn id="2" uniqueName="2" name="AGE_LEVEL_LESS_20" totalsRowFunction="sum" queryTableFieldId="2" headerRowDxfId="2195" dataDxfId="2194" totalsRowDxfId="2193" headerRowCellStyle="Normal 2" dataCellStyle="Normal 2"/>
    <tableColumn id="3" uniqueName="3" name="AGE_LEVEL_20_24" totalsRowFunction="sum" queryTableFieldId="3" headerRowDxfId="2192" dataDxfId="2191" totalsRowDxfId="2190" headerRowCellStyle="Normal 2" dataCellStyle="Normal 2"/>
    <tableColumn id="4" uniqueName="4" name="AGE_LEVEL_25_29" totalsRowFunction="sum" queryTableFieldId="4" headerRowDxfId="2189" dataDxfId="2188" totalsRowDxfId="2187" headerRowCellStyle="Normal 2" dataCellStyle="Normal 2"/>
    <tableColumn id="5" uniqueName="5" name="AGE_LEVEL_30_34" totalsRowFunction="sum" queryTableFieldId="5" headerRowDxfId="2186" dataDxfId="2185" totalsRowDxfId="2184" headerRowCellStyle="Normal 2" dataCellStyle="Normal 2"/>
    <tableColumn id="6" uniqueName="6" name="AGE_LEVEL_35_39" totalsRowFunction="sum" queryTableFieldId="6" headerRowDxfId="2183" dataDxfId="2182" totalsRowDxfId="2181" headerRowCellStyle="Normal 2" dataCellStyle="Normal 2"/>
    <tableColumn id="7" uniqueName="7" name="AGE_LEVEL_40_44" totalsRowFunction="sum" queryTableFieldId="7" headerRowDxfId="2180" dataDxfId="2179" totalsRowDxfId="2178" headerRowCellStyle="Normal 2" dataCellStyle="Normal 2"/>
    <tableColumn id="8" uniqueName="8" name="AGE_LEVEL_45_49" totalsRowFunction="sum" queryTableFieldId="8" headerRowDxfId="2177" dataDxfId="2176" totalsRowDxfId="2175" headerRowCellStyle="Normal 2" dataCellStyle="Normal 2"/>
    <tableColumn id="9" uniqueName="9" name="AGE_LEVEL_50_54" totalsRowFunction="sum" queryTableFieldId="9" headerRowDxfId="2174" dataDxfId="2173" totalsRowDxfId="2172" headerRowCellStyle="Normal 2" dataCellStyle="Normal 2"/>
    <tableColumn id="10" uniqueName="10" name="AGE_LEVEL_55_59" totalsRowFunction="sum" queryTableFieldId="10" headerRowDxfId="2171" dataDxfId="2170" totalsRowDxfId="2169" headerRowCellStyle="Normal 2" dataCellStyle="Normal 2"/>
    <tableColumn id="11" uniqueName="11" name="AGE_LEVEL_60_64" totalsRowFunction="sum" queryTableFieldId="11" headerRowDxfId="2168" dataDxfId="2167" totalsRowDxfId="2166" headerRowCellStyle="Normal 2" dataCellStyle="Normal 2"/>
    <tableColumn id="12" uniqueName="12" name="AGE_LEVEL_65_70" totalsRowFunction="sum" queryTableFieldId="12" headerRowDxfId="2165" dataDxfId="2164" totalsRowDxfId="2163" headerRowCellStyle="Normal 2" dataCellStyle="Normal 2"/>
    <tableColumn id="13" uniqueName="13" name="AGE_LEVEL_70_74" totalsRowFunction="sum" queryTableFieldId="13" headerRowDxfId="2162" dataDxfId="2161" totalsRowDxfId="2160" headerRowCellStyle="Normal 2" dataCellStyle="Normal 2"/>
    <tableColumn id="14" uniqueName="14" name="AGE_LEVEL_75" totalsRowFunction="sum" queryTableFieldId="14" headerRowDxfId="2159" dataDxfId="2158" totalsRowDxfId="2157" headerRowCellStyle="Normal 2" dataCellStyle="Normal 2"/>
    <tableColumn id="15" uniqueName="15" name="AGE_LEVEL_NOT_STATED" totalsRowFunction="sum" queryTableFieldId="15" headerRowDxfId="2156" dataDxfId="2155" totalsRowDxfId="2154" headerRowCellStyle="Normal 2" dataCellStyle="Normal 2"/>
    <tableColumn id="16" uniqueName="16" name="TOTAL" totalsRowFunction="sum" queryTableFieldId="16" headerRowDxfId="2153" dataDxfId="2152" totalsRowDxfId="2151" headerRowCellStyle="Normal 2" dataCellStyle="Normal 2"/>
    <tableColumn id="17" uniqueName="17" name="NAT_DESC_ENG" totalsRowLabel="Total" queryTableFieldId="17" headerRowDxfId="2150" dataDxfId="2149" totalsRowDxfId="2148" headerRowCellStyle="Normal 2" dataCellStyle="TXT1"/>
  </tableColumns>
  <tableStyleInfo name="VITAL" showFirstColumn="0" showLastColumn="0" showRowStripes="1" showColumnStripes="0"/>
</table>
</file>

<file path=xl/tables/table70.xml><?xml version="1.0" encoding="utf-8"?>
<table xmlns="http://schemas.openxmlformats.org/spreadsheetml/2006/main" id="65" name="Table_Default__XLS_TAB_37_2" displayName="Table_Default__XLS_TAB_37_2" ref="B9:J19" tableType="queryTable" headerRowCount="0" totalsRowShown="0" headerRowDxfId="443" dataDxfId="442" tableBorderDxfId="441" headerRowCellStyle="Normal 2" dataCellStyle="Normal 2">
  <tableColumns count="9">
    <tableColumn id="1" uniqueName="1" name="ILLITERATE_CNT" queryTableFieldId="1" headerRowDxfId="440" dataDxfId="439" headerRowCellStyle="Normal 2" dataCellStyle="Normal 2"/>
    <tableColumn id="2" uniqueName="2" name="READ_AND_WRITE_CNT" queryTableFieldId="2" headerRowDxfId="438" dataDxfId="437" headerRowCellStyle="Normal 2" dataCellStyle="Normal 2"/>
    <tableColumn id="3" uniqueName="3" name="PRIMARY_CNT" queryTableFieldId="3" headerRowDxfId="436" dataDxfId="435" headerRowCellStyle="Normal 2" dataCellStyle="Normal 2"/>
    <tableColumn id="4" uniqueName="4" name="PREPARATORY_CNT" queryTableFieldId="4" headerRowDxfId="434" dataDxfId="433" headerRowCellStyle="Normal 2" dataCellStyle="Normal 2"/>
    <tableColumn id="5" uniqueName="5" name="SECONDARY_CNT" queryTableFieldId="5" headerRowDxfId="432" dataDxfId="431" headerRowCellStyle="Normal 2" dataCellStyle="Normal 2"/>
    <tableColumn id="6" uniqueName="6" name="PRE_UNIVERSITY_CNT" queryTableFieldId="6" headerRowDxfId="430" dataDxfId="429" headerRowCellStyle="Normal 2" dataCellStyle="Normal 2"/>
    <tableColumn id="7" uniqueName="7" name="UNIV_ABOVE_CNT" queryTableFieldId="7" headerRowDxfId="428" dataDxfId="427" headerRowCellStyle="Normal 2" dataCellStyle="Normal 2"/>
    <tableColumn id="8" uniqueName="8" name="NOT_STATED_CNT" queryTableFieldId="8" headerRowDxfId="426" dataDxfId="425" headerRowCellStyle="Normal 2" dataCellStyle="Normal 2"/>
    <tableColumn id="9" uniqueName="9" name="TOTAL" queryTableFieldId="9" headerRowDxfId="424" dataDxfId="423" headerRowCellStyle="Normal 2" dataCellStyle="Normal 2"/>
  </tableColumns>
  <tableStyleInfo name="VITAL" showFirstColumn="0" showLastColumn="0" showRowStripes="1" showColumnStripes="0"/>
</table>
</file>

<file path=xl/tables/table71.xml><?xml version="1.0" encoding="utf-8"?>
<table xmlns="http://schemas.openxmlformats.org/spreadsheetml/2006/main" id="66" name="Table_Default__XLS_TAB_37_3" displayName="Table_Default__XLS_TAB_37_3" ref="B9:J19" tableType="queryTable" headerRowCount="0" totalsRowShown="0" headerRowDxfId="422" dataDxfId="421" tableBorderDxfId="420" headerRowCellStyle="Normal 2" dataCellStyle="Normal 2">
  <tableColumns count="9">
    <tableColumn id="1" uniqueName="1" name="ILLITERATE_CNT" queryTableFieldId="1" headerRowDxfId="419" dataDxfId="418" headerRowCellStyle="Normal 2" dataCellStyle="Normal 2"/>
    <tableColumn id="2" uniqueName="2" name="READ_AND_WRITE_CNT" queryTableFieldId="2" headerRowDxfId="417" dataDxfId="416" headerRowCellStyle="Normal 2" dataCellStyle="Normal 2"/>
    <tableColumn id="3" uniqueName="3" name="PRIMARY_CNT" queryTableFieldId="3" headerRowDxfId="415" dataDxfId="414" headerRowCellStyle="Normal 2" dataCellStyle="Normal 2"/>
    <tableColumn id="4" uniqueName="4" name="PREPARATORY_CNT" queryTableFieldId="4" headerRowDxfId="413" dataDxfId="412" headerRowCellStyle="Normal 2" dataCellStyle="Normal 2"/>
    <tableColumn id="5" uniqueName="5" name="SECONDARY_CNT" queryTableFieldId="5" headerRowDxfId="411" dataDxfId="410" headerRowCellStyle="Normal 2" dataCellStyle="Normal 2"/>
    <tableColumn id="6" uniqueName="6" name="PRE_UNIVERSITY_CNT" queryTableFieldId="6" headerRowDxfId="409" dataDxfId="408" headerRowCellStyle="Normal 2" dataCellStyle="Normal 2"/>
    <tableColumn id="7" uniqueName="7" name="UNIV_ABOVE_CNT" queryTableFieldId="7" headerRowDxfId="407" dataDxfId="406" headerRowCellStyle="Normal 2" dataCellStyle="Normal 2"/>
    <tableColumn id="8" uniqueName="8" name="NOT_STATED_CNT" queryTableFieldId="8" headerRowDxfId="405" dataDxfId="404" headerRowCellStyle="Normal 2" dataCellStyle="Normal 2"/>
    <tableColumn id="9" uniqueName="9" name="TOTAL" queryTableFieldId="9" headerRowDxfId="403" dataDxfId="402" headerRowCellStyle="Normal 2" dataCellStyle="Normal 2"/>
  </tableColumns>
  <tableStyleInfo name="VITAL" showFirstColumn="0" showLastColumn="0" showRowStripes="1" showColumnStripes="0"/>
</table>
</file>

<file path=xl/tables/table72.xml><?xml version="1.0" encoding="utf-8"?>
<table xmlns="http://schemas.openxmlformats.org/spreadsheetml/2006/main" id="67" name="Table_Default__XLS_TAB_38_1" displayName="Table_Default__XLS_TAB_38_1" ref="A10:O21" tableType="queryTable" headerRowCount="0" totalsRowShown="0" tableBorderDxfId="401">
  <tableColumns count="15">
    <tableColumn id="1" uniqueName="1" name="JOB_ARB" queryTableFieldId="1" headerRowDxfId="400" dataDxfId="399" headerRowCellStyle="Normal 2" dataCellStyle="Normal 2"/>
    <tableColumn id="2" uniqueName="2" name="LEGISLATORS_CNT" queryTableFieldId="2" headerRowDxfId="398" dataDxfId="397" headerRowCellStyle="Normal 2" dataCellStyle="Normal 2"/>
    <tableColumn id="3" uniqueName="3" name="PROFESSIONALS_CNT" queryTableFieldId="3" headerRowDxfId="396" dataDxfId="395" headerRowCellStyle="Normal 2" dataCellStyle="Normal 2"/>
    <tableColumn id="4" uniqueName="4" name="TECHNICIANS_CNT" queryTableFieldId="4" headerRowDxfId="394" dataDxfId="393" headerRowCellStyle="Normal 2" dataCellStyle="Normal 2"/>
    <tableColumn id="5" uniqueName="5" name="CLERKS_CNT" queryTableFieldId="5" headerRowDxfId="392" dataDxfId="391" headerRowCellStyle="Normal 2" dataCellStyle="Normal 2"/>
    <tableColumn id="6" uniqueName="6" name="SERVICE_WORKERS_CNT" queryTableFieldId="6" headerRowDxfId="390" dataDxfId="389" headerRowCellStyle="Normal 2" dataCellStyle="Normal 2"/>
    <tableColumn id="7" uniqueName="7" name="SKILLED_AGRICULTURAL_CNT" queryTableFieldId="7" headerRowDxfId="388" dataDxfId="387" headerRowCellStyle="Normal 2" dataCellStyle="Normal 2"/>
    <tableColumn id="8" uniqueName="8" name="CRAFT_CNT" queryTableFieldId="8" headerRowDxfId="386" dataDxfId="385" headerRowCellStyle="Normal 2" dataCellStyle="Normal 2"/>
    <tableColumn id="9" uniqueName="9" name="PLANT_CNT" queryTableFieldId="9" headerRowDxfId="384" dataDxfId="383" headerRowCellStyle="Normal 2" dataCellStyle="Normal 2"/>
    <tableColumn id="10" uniqueName="10" name="ELEMENTARY_OCCUPATIONS_CNT" queryTableFieldId="10" headerRowDxfId="382" dataDxfId="381" headerRowCellStyle="Normal 2" dataCellStyle="Normal 2"/>
    <tableColumn id="11" uniqueName="11" name="NOT_KNOWN_CNT" queryTableFieldId="11" headerRowDxfId="380" dataDxfId="379" headerRowCellStyle="Normal 2" dataCellStyle="Normal 2"/>
    <tableColumn id="12" uniqueName="12" name="TOTAL" queryTableFieldId="12" headerRowDxfId="378" dataDxfId="377" headerRowCellStyle="Normal 2" dataCellStyle="Normal 2"/>
    <tableColumn id="13" uniqueName="13" name="NO_OCCUP" queryTableFieldId="13" headerRowDxfId="376" dataDxfId="375" headerRowCellStyle="Normal 2" dataCellStyle="Normal 2"/>
    <tableColumn id="14" uniqueName="14" name="GRND_TOTAL" queryTableFieldId="14" headerRowDxfId="374" dataDxfId="373" headerRowCellStyle="Normal 2" dataCellStyle="Normal 2"/>
    <tableColumn id="15" uniqueName="15" name="JOB_ENG" queryTableFieldId="15" headerRowDxfId="372" dataDxfId="371" headerRowCellStyle="Normal 2" dataCellStyle="Normal 2"/>
  </tableColumns>
  <tableStyleInfo name="VITAL" showFirstColumn="0" showLastColumn="0" showRowStripes="1" showColumnStripes="0"/>
</table>
</file>

<file path=xl/tables/table73.xml><?xml version="1.0" encoding="utf-8"?>
<table xmlns="http://schemas.openxmlformats.org/spreadsheetml/2006/main" id="68" name="Table_Default__XLS_TAB_38_2" displayName="Table_Default__XLS_TAB_38_2" ref="A10:O21" tableType="queryTable" headerRowCount="0" totalsRowShown="0" tableBorderDxfId="370">
  <tableColumns count="15">
    <tableColumn id="1" uniqueName="1" name="JOB_ARB" queryTableFieldId="1" headerRowDxfId="369" dataDxfId="368" headerRowCellStyle="Normal 2" dataCellStyle="Normal 2"/>
    <tableColumn id="2" uniqueName="2" name="LEGISLATORS_CNT" queryTableFieldId="2" headerRowDxfId="367" dataDxfId="366" headerRowCellStyle="Normal 2" dataCellStyle="Normal 2"/>
    <tableColumn id="3" uniqueName="3" name="PROFESSIONALS_CNT" queryTableFieldId="3" headerRowDxfId="365" dataDxfId="364" headerRowCellStyle="Normal 2" dataCellStyle="Normal 2"/>
    <tableColumn id="4" uniqueName="4" name="TECHNICIANS_CNT" queryTableFieldId="4" headerRowDxfId="363" dataDxfId="362" headerRowCellStyle="Normal 2" dataCellStyle="Normal 2"/>
    <tableColumn id="5" uniqueName="5" name="CLERKS_CNT" queryTableFieldId="5" headerRowDxfId="361" dataDxfId="360" headerRowCellStyle="Normal 2" dataCellStyle="Normal 2"/>
    <tableColumn id="6" uniqueName="6" name="SERVICE_WORKERS_CNT" queryTableFieldId="6" headerRowDxfId="359" dataDxfId="358" headerRowCellStyle="Normal 2" dataCellStyle="Normal 2"/>
    <tableColumn id="7" uniqueName="7" name="SKILLED_AGRICULTURAL_CNT" queryTableFieldId="7" headerRowDxfId="357" dataDxfId="356" headerRowCellStyle="Normal 2" dataCellStyle="Normal 2"/>
    <tableColumn id="8" uniqueName="8" name="CRAFT_CNT" queryTableFieldId="8" headerRowDxfId="355" dataDxfId="354" headerRowCellStyle="Normal 2" dataCellStyle="Normal 2"/>
    <tableColumn id="9" uniqueName="9" name="PLANT_CNT" queryTableFieldId="9" headerRowDxfId="353" dataDxfId="352" headerRowCellStyle="Normal 2" dataCellStyle="Normal 2"/>
    <tableColumn id="10" uniqueName="10" name="ELEMENTARY_OCCUPATIONS_CNT" queryTableFieldId="10" headerRowDxfId="351" dataDxfId="350" headerRowCellStyle="Normal 2" dataCellStyle="Normal 2"/>
    <tableColumn id="11" uniqueName="11" name="NOT_KNOWN_CNT" queryTableFieldId="11" headerRowDxfId="349" dataDxfId="348" headerRowCellStyle="Normal 2" dataCellStyle="Normal 2"/>
    <tableColumn id="12" uniqueName="12" name="TOTAL" queryTableFieldId="12" headerRowDxfId="347" dataDxfId="346" headerRowCellStyle="Normal 2" dataCellStyle="Normal 2"/>
    <tableColumn id="13" uniqueName="13" name="NO_OCCUP" queryTableFieldId="13" headerRowDxfId="345" dataDxfId="344" headerRowCellStyle="Normal 2" dataCellStyle="Normal 2"/>
    <tableColumn id="14" uniqueName="14" name="GRND_TOTAL" queryTableFieldId="14" headerRowDxfId="343" dataDxfId="342" headerRowCellStyle="Normal 2" dataCellStyle="Normal 2"/>
    <tableColumn id="15" uniqueName="15" name="JOB_ENG" queryTableFieldId="15" headerRowDxfId="341" dataDxfId="340" headerRowCellStyle="Normal 2" dataCellStyle="Normal 2"/>
  </tableColumns>
  <tableStyleInfo name="VITAL" showFirstColumn="0" showLastColumn="0" showRowStripes="1" showColumnStripes="0"/>
</table>
</file>

<file path=xl/tables/table74.xml><?xml version="1.0" encoding="utf-8"?>
<table xmlns="http://schemas.openxmlformats.org/spreadsheetml/2006/main" id="69" name="Table_Default__XLS_TAB_38_3" displayName="Table_Default__XLS_TAB_38_3" ref="A10:O21" tableType="queryTable" headerRowCount="0" totalsRowShown="0" tableBorderDxfId="339">
  <tableColumns count="15">
    <tableColumn id="1" uniqueName="1" name="JOB_ARB" queryTableFieldId="1" headerRowDxfId="338" dataDxfId="337" headerRowCellStyle="Normal 2" dataCellStyle="Normal 2"/>
    <tableColumn id="2" uniqueName="2" name="LEGISLATORS_CNT" queryTableFieldId="2" headerRowDxfId="336" dataDxfId="335" headerRowCellStyle="Normal 2" dataCellStyle="Normal 2"/>
    <tableColumn id="3" uniqueName="3" name="PROFESSIONALS_CNT" queryTableFieldId="3" headerRowDxfId="334" dataDxfId="333" headerRowCellStyle="Normal 2" dataCellStyle="Normal 2"/>
    <tableColumn id="4" uniqueName="4" name="TECHNICIANS_CNT" queryTableFieldId="4" headerRowDxfId="332" dataDxfId="331" headerRowCellStyle="Normal 2" dataCellStyle="Normal 2"/>
    <tableColumn id="5" uniqueName="5" name="CLERKS_CNT" queryTableFieldId="5" headerRowDxfId="330" dataDxfId="329" headerRowCellStyle="Normal 2" dataCellStyle="Normal 2"/>
    <tableColumn id="6" uniqueName="6" name="SERVICE_WORKERS_CNT" queryTableFieldId="6" headerRowDxfId="328" dataDxfId="327" headerRowCellStyle="Normal 2" dataCellStyle="Normal 2"/>
    <tableColumn id="7" uniqueName="7" name="SKILLED_AGRICULTURAL_CNT" queryTableFieldId="7" headerRowDxfId="326" dataDxfId="325" headerRowCellStyle="Normal 2" dataCellStyle="Normal 2"/>
    <tableColumn id="8" uniqueName="8" name="CRAFT_CNT" queryTableFieldId="8" headerRowDxfId="324" dataDxfId="323" headerRowCellStyle="Normal 2" dataCellStyle="Normal 2"/>
    <tableColumn id="9" uniqueName="9" name="PLANT_CNT" queryTableFieldId="9" headerRowDxfId="322" dataDxfId="321" headerRowCellStyle="Normal 2" dataCellStyle="Normal 2"/>
    <tableColumn id="10" uniqueName="10" name="ELEMENTARY_OCCUPATIONS_CNT" queryTableFieldId="10" headerRowDxfId="320" dataDxfId="319" headerRowCellStyle="Normal 2" dataCellStyle="Normal 2"/>
    <tableColumn id="11" uniqueName="11" name="NOT_KNOWN_CNT" queryTableFieldId="11" headerRowDxfId="318" dataDxfId="317" headerRowCellStyle="Normal 2" dataCellStyle="Normal 2"/>
    <tableColumn id="12" uniqueName="12" name="TOTAL" queryTableFieldId="12" headerRowDxfId="316" dataDxfId="315" headerRowCellStyle="Normal 2" dataCellStyle="Normal 2"/>
    <tableColumn id="13" uniqueName="13" name="NO_OCCUP" queryTableFieldId="13" headerRowDxfId="314" dataDxfId="313" headerRowCellStyle="Normal 2" dataCellStyle="Normal 2"/>
    <tableColumn id="14" uniqueName="14" name="GRND_TOTAL" queryTableFieldId="14" headerRowDxfId="312" dataDxfId="311" headerRowCellStyle="Normal 2" dataCellStyle="Normal 2"/>
    <tableColumn id="15" uniqueName="15" name="JOB_ENG" queryTableFieldId="15" headerRowDxfId="310" dataDxfId="309" headerRowCellStyle="Normal 2" dataCellStyle="Normal 2"/>
  </tableColumns>
  <tableStyleInfo name="VITAL" showFirstColumn="0" showLastColumn="0" showRowStripes="1" showColumnStripes="0"/>
</table>
</file>

<file path=xl/tables/table75.xml><?xml version="1.0" encoding="utf-8"?>
<table xmlns="http://schemas.openxmlformats.org/spreadsheetml/2006/main" id="71" name="Table_Default__XLS_TAB_39_1" displayName="Table_Default__XLS_TAB_39_1" ref="I9:V22" tableType="queryTable" headerRowCount="0" totalsRowShown="0" dataDxfId="308" tableBorderDxfId="307" dataCellStyle="Normal 2">
  <tableColumns count="14">
    <tableColumn id="1" uniqueName="1" name="AGE_LEVEL_HUSBD_ARB" queryTableFieldId="1" headerRowDxfId="306" dataDxfId="305" headerRowCellStyle="Normal 2" dataCellStyle="Normal 2"/>
    <tableColumn id="2" uniqueName="2" name="AGE_LEVEL_LESS_20" queryTableFieldId="2" headerRowDxfId="304" dataDxfId="303" headerRowCellStyle="Normal 2" dataCellStyle="Normal 2"/>
    <tableColumn id="3" uniqueName="3" name="AGE_LEVEL_20_24" queryTableFieldId="3" headerRowDxfId="302" dataDxfId="301" headerRowCellStyle="Normal 2" dataCellStyle="Normal 2"/>
    <tableColumn id="4" uniqueName="4" name="AGE_LEVEL_25_29" queryTableFieldId="4" headerRowDxfId="300" dataDxfId="299" headerRowCellStyle="Normal 2" dataCellStyle="Normal 2"/>
    <tableColumn id="5" uniqueName="5" name="AGE_LEVEL_30_34" queryTableFieldId="5" headerRowDxfId="298" dataDxfId="297" headerRowCellStyle="Normal 2" dataCellStyle="Normal 2"/>
    <tableColumn id="6" uniqueName="6" name="AGE_LEVEL_35_39" queryTableFieldId="6" headerRowDxfId="296" dataDxfId="295" headerRowCellStyle="Normal 2" dataCellStyle="Normal 2"/>
    <tableColumn id="7" uniqueName="7" name="AGE_LEVEL_40_44" queryTableFieldId="7" headerRowDxfId="294" dataDxfId="293" headerRowCellStyle="Normal 2" dataCellStyle="Normal 2"/>
    <tableColumn id="8" uniqueName="8" name="AGE_LEVEL_45_49" queryTableFieldId="8" headerRowDxfId="292" dataDxfId="291" headerRowCellStyle="Normal 2" dataCellStyle="Normal 2"/>
    <tableColumn id="9" uniqueName="9" name="AGE_LEVEL_50_54" queryTableFieldId="9" headerRowDxfId="290" dataDxfId="289" headerRowCellStyle="Normal 2" dataCellStyle="Normal 2"/>
    <tableColumn id="10" uniqueName="10" name="AGE_LEVEL_55_59" queryTableFieldId="10" headerRowDxfId="288" dataDxfId="287" headerRowCellStyle="Normal 2" dataCellStyle="Normal 2"/>
    <tableColumn id="11" uniqueName="11" name="AGE_LEVEL_UP_60" queryTableFieldId="11" headerRowDxfId="286" dataDxfId="285" headerRowCellStyle="Normal 2" dataCellStyle="Normal 2"/>
    <tableColumn id="12" uniqueName="12" name="AGE_LEVEL_NOT_STATED" queryTableFieldId="12" headerRowDxfId="284" dataDxfId="283" headerRowCellStyle="Normal 2" dataCellStyle="Normal 2"/>
    <tableColumn id="13" uniqueName="13" name="TOTAL" queryTableFieldId="13" headerRowDxfId="282" dataDxfId="281" headerRowCellStyle="Normal 2" dataCellStyle="Normal 2"/>
    <tableColumn id="14" uniqueName="14" name="AGE_LEVEL_HUSBD_ENG" queryTableFieldId="14" headerRowDxfId="280" dataDxfId="279" headerRowCellStyle="Normal 2" dataCellStyle="Normal 2"/>
  </tableColumns>
  <tableStyleInfo name="VITAL" showFirstColumn="0" showLastColumn="0" showRowStripes="1" showColumnStripes="0"/>
</table>
</file>

<file path=xl/tables/table76.xml><?xml version="1.0" encoding="utf-8"?>
<table xmlns="http://schemas.openxmlformats.org/spreadsheetml/2006/main" id="72" name="Table_Default__XLS_TAB_39_2" displayName="Table_Default__XLS_TAB_39_2" ref="A9:N22" tableType="queryTable" headerRowCount="0" totalsRowShown="0" dataDxfId="278" tableBorderDxfId="277" dataCellStyle="Normal 2">
  <tableColumns count="14">
    <tableColumn id="1" uniqueName="1" name="AGE_LEVEL_HUSBD_ARB" queryTableFieldId="1" headerRowDxfId="276" dataDxfId="275" headerRowCellStyle="Normal 2" dataCellStyle="Normal 2"/>
    <tableColumn id="2" uniqueName="2" name="AGE_LEVEL_LESS_20" queryTableFieldId="2" headerRowDxfId="274" dataDxfId="273" headerRowCellStyle="Normal 2" dataCellStyle="Normal 2"/>
    <tableColumn id="3" uniqueName="3" name="AGE_LEVEL_20_24" queryTableFieldId="3" headerRowDxfId="272" dataDxfId="271" headerRowCellStyle="Normal 2" dataCellStyle="Normal 2"/>
    <tableColumn id="4" uniqueName="4" name="AGE_LEVEL_25_29" queryTableFieldId="4" headerRowDxfId="270" dataDxfId="269" headerRowCellStyle="Normal 2" dataCellStyle="Normal 2"/>
    <tableColumn id="5" uniqueName="5" name="AGE_LEVEL_30_34" queryTableFieldId="5" headerRowDxfId="268" dataDxfId="267" headerRowCellStyle="Normal 2" dataCellStyle="Normal 2"/>
    <tableColumn id="6" uniqueName="6" name="AGE_LEVEL_35_39" queryTableFieldId="6" headerRowDxfId="266" dataDxfId="265" headerRowCellStyle="Normal 2" dataCellStyle="Normal 2"/>
    <tableColumn id="7" uniqueName="7" name="AGE_LEVEL_40_44" queryTableFieldId="7" headerRowDxfId="264" dataDxfId="263" headerRowCellStyle="Normal 2" dataCellStyle="Normal 2"/>
    <tableColumn id="8" uniqueName="8" name="AGE_LEVEL_45_49" queryTableFieldId="8" headerRowDxfId="262" dataDxfId="261" headerRowCellStyle="Normal 2" dataCellStyle="Normal 2"/>
    <tableColumn id="9" uniqueName="9" name="AGE_LEVEL_50_54" queryTableFieldId="9" headerRowDxfId="260" dataDxfId="259" headerRowCellStyle="Normal 2" dataCellStyle="Normal 2"/>
    <tableColumn id="10" uniqueName="10" name="AGE_LEVEL_55_59" queryTableFieldId="10" headerRowDxfId="258" dataDxfId="257" headerRowCellStyle="Normal 2" dataCellStyle="Normal 2"/>
    <tableColumn id="11" uniqueName="11" name="AGE_LEVEL_UP_60" queryTableFieldId="11" headerRowDxfId="256" dataDxfId="255" headerRowCellStyle="Normal 2" dataCellStyle="Normal 2"/>
    <tableColumn id="12" uniqueName="12" name="AGE_LEVEL_NOT_STATED" queryTableFieldId="12" headerRowDxfId="254" dataDxfId="253" headerRowCellStyle="Normal 2" dataCellStyle="Normal 2"/>
    <tableColumn id="13" uniqueName="13" name="TOTAL" queryTableFieldId="13" headerRowDxfId="252" dataDxfId="251" headerRowCellStyle="Normal 2" dataCellStyle="Normal 2"/>
    <tableColumn id="14" uniqueName="14" name="AGE_LEVEL_HUSBD_ENG" queryTableFieldId="14" headerRowDxfId="250" dataDxfId="249" headerRowCellStyle="Normal 2" dataCellStyle="Normal 2"/>
  </tableColumns>
  <tableStyleInfo name="VITAL" showFirstColumn="0" showLastColumn="0" showRowStripes="1" showColumnStripes="0"/>
</table>
</file>

<file path=xl/tables/table77.xml><?xml version="1.0" encoding="utf-8"?>
<table xmlns="http://schemas.openxmlformats.org/spreadsheetml/2006/main" id="73" name="Table_Default__XLS_TAB_39_3" displayName="Table_Default__XLS_TAB_39_3" ref="A9:N22" tableType="queryTable" headerRowCount="0" totalsRowShown="0" dataDxfId="248" tableBorderDxfId="247" dataCellStyle="Normal 2">
  <tableColumns count="14">
    <tableColumn id="1" uniqueName="1" name="AGE_LEVEL_HUSBD_ARB" queryTableFieldId="1" headerRowDxfId="246" dataDxfId="245" headerRowCellStyle="Normal 2" dataCellStyle="Normal 2"/>
    <tableColumn id="2" uniqueName="2" name="AGE_LEVEL_LESS_20" queryTableFieldId="2" headerRowDxfId="244" dataDxfId="243" headerRowCellStyle="Normal 2" dataCellStyle="Normal 2"/>
    <tableColumn id="3" uniqueName="3" name="AGE_LEVEL_20_24" queryTableFieldId="3" headerRowDxfId="242" dataDxfId="241" headerRowCellStyle="Normal 2" dataCellStyle="Normal 2"/>
    <tableColumn id="4" uniqueName="4" name="AGE_LEVEL_25_29" queryTableFieldId="4" headerRowDxfId="240" dataDxfId="239" headerRowCellStyle="Normal 2" dataCellStyle="Normal 2"/>
    <tableColumn id="5" uniqueName="5" name="AGE_LEVEL_30_34" queryTableFieldId="5" headerRowDxfId="238" dataDxfId="237" headerRowCellStyle="Normal 2" dataCellStyle="Normal 2"/>
    <tableColumn id="6" uniqueName="6" name="AGE_LEVEL_35_39" queryTableFieldId="6" headerRowDxfId="236" dataDxfId="235" headerRowCellStyle="Normal 2" dataCellStyle="Normal 2"/>
    <tableColumn id="7" uniqueName="7" name="AGE_LEVEL_40_44" queryTableFieldId="7" headerRowDxfId="234" dataDxfId="233" headerRowCellStyle="Normal 2" dataCellStyle="Normal 2"/>
    <tableColumn id="8" uniqueName="8" name="AGE_LEVEL_45_49" queryTableFieldId="8" headerRowDxfId="232" dataDxfId="231" headerRowCellStyle="Normal 2" dataCellStyle="Normal 2"/>
    <tableColumn id="9" uniqueName="9" name="AGE_LEVEL_50_54" queryTableFieldId="9" headerRowDxfId="230" dataDxfId="229" headerRowCellStyle="Normal 2" dataCellStyle="Normal 2"/>
    <tableColumn id="10" uniqueName="10" name="AGE_LEVEL_55_59" queryTableFieldId="10" headerRowDxfId="228" dataDxfId="227" headerRowCellStyle="Normal 2" dataCellStyle="Normal 2"/>
    <tableColumn id="11" uniqueName="11" name="AGE_LEVEL_UP_60" queryTableFieldId="11" headerRowDxfId="226" dataDxfId="225" headerRowCellStyle="Normal 2" dataCellStyle="Normal 2"/>
    <tableColumn id="12" uniqueName="12" name="AGE_LEVEL_NOT_STATED" queryTableFieldId="12" headerRowDxfId="224" dataDxfId="223" headerRowCellStyle="Normal 2" dataCellStyle="Normal 2"/>
    <tableColumn id="13" uniqueName="13" name="TOTAL" queryTableFieldId="13" headerRowDxfId="222" dataDxfId="221" headerRowCellStyle="Normal 2" dataCellStyle="Normal 2"/>
    <tableColumn id="14" uniqueName="14" name="AGE_LEVEL_HUSBD_ENG" queryTableFieldId="14" headerRowDxfId="220" dataDxfId="219" headerRowCellStyle="Normal 2" dataCellStyle="Normal 2"/>
  </tableColumns>
  <tableStyleInfo name="VITAL" showFirstColumn="0" showLastColumn="0" showRowStripes="1" showColumnStripes="0"/>
</table>
</file>

<file path=xl/tables/table78.xml><?xml version="1.0" encoding="utf-8"?>
<table xmlns="http://schemas.openxmlformats.org/spreadsheetml/2006/main" id="70" name="Table_Default__XLS_TAB_40_1" displayName="Table_Default__XLS_TAB_40_1" ref="B9:M22" tableType="queryTable" headerRowCount="0" totalsRowShown="0" headerRowDxfId="218" dataDxfId="217">
  <tableColumns count="12">
    <tableColumn id="1" uniqueName="1" name="AGE_LEVEL_LESS_20" queryTableFieldId="1" headerRowDxfId="216" dataDxfId="215" headerRowCellStyle="Normal 2" dataCellStyle="Normal 2"/>
    <tableColumn id="2" uniqueName="2" name="AGE_LEVEL_20_24" queryTableFieldId="2" headerRowDxfId="214" dataDxfId="213" headerRowCellStyle="Normal 2" dataCellStyle="Normal 2"/>
    <tableColumn id="3" uniqueName="3" name="AGE_LEVEL_25_29" queryTableFieldId="3" headerRowDxfId="212" dataDxfId="211" headerRowCellStyle="Normal 2" dataCellStyle="Normal 2"/>
    <tableColumn id="4" uniqueName="4" name="AGE_LEVEL_30_34" queryTableFieldId="4" headerRowDxfId="210" dataDxfId="209" headerRowCellStyle="Normal 2" dataCellStyle="Normal 2"/>
    <tableColumn id="5" uniqueName="5" name="AGE_LEVEL_35_39" queryTableFieldId="5" headerRowDxfId="208" dataDxfId="207" headerRowCellStyle="Normal 2" dataCellStyle="Normal 2"/>
    <tableColumn id="6" uniqueName="6" name="AGE_LEVEL_40_44" queryTableFieldId="6" headerRowDxfId="206" dataDxfId="205" headerRowCellStyle="Normal 2" dataCellStyle="Normal 2"/>
    <tableColumn id="7" uniqueName="7" name="AGE_LEVEL_45_49" queryTableFieldId="7" headerRowDxfId="204" dataDxfId="203" headerRowCellStyle="Normal 2" dataCellStyle="Normal 2"/>
    <tableColumn id="8" uniqueName="8" name="AGE_LEVEL_50_54" queryTableFieldId="8" headerRowDxfId="202" dataDxfId="201" headerRowCellStyle="Normal 2" dataCellStyle="Normal 2"/>
    <tableColumn id="9" uniqueName="9" name="AGE_LEVEL_55_59" queryTableFieldId="9" headerRowDxfId="200" dataDxfId="199" headerRowCellStyle="Normal 2" dataCellStyle="Normal 2"/>
    <tableColumn id="10" uniqueName="10" name="AGE_LEVEL_UP_60" queryTableFieldId="10" headerRowDxfId="198" dataDxfId="197" headerRowCellStyle="Normal 2" dataCellStyle="Normal 2"/>
    <tableColumn id="11" uniqueName="11" name="AGE_LEVEL_NOT_STATED" queryTableFieldId="11" headerRowDxfId="196" dataDxfId="3" headerRowCellStyle="Normal 2" dataCellStyle="Normal 2"/>
    <tableColumn id="12" uniqueName="12" name="TOTAL" queryTableFieldId="12" headerRowDxfId="195" dataDxfId="2" headerRowCellStyle="Normal 2" dataCellStyle="Normal 2"/>
  </tableColumns>
  <tableStyleInfo name="VITAL" showFirstColumn="0" showLastColumn="0" showRowStripes="1" showColumnStripes="0"/>
</table>
</file>

<file path=xl/tables/table79.xml><?xml version="1.0" encoding="utf-8"?>
<table xmlns="http://schemas.openxmlformats.org/spreadsheetml/2006/main" id="74" name="Table_Default__XLS_TAB_40_2" displayName="Table_Default__XLS_TAB_40_2" ref="B9:M22" tableType="queryTable" headerRowCount="0" totalsRowShown="0" headerRowDxfId="194" dataDxfId="193" tableBorderDxfId="192" headerRowCellStyle="Normal 2" dataCellStyle="Normal 2">
  <tableColumns count="12">
    <tableColumn id="1" uniqueName="1" name="AGE_LEVEL_LESS_20" queryTableFieldId="1" headerRowDxfId="191" dataDxfId="190" headerRowCellStyle="Normal 2" dataCellStyle="Normal 2"/>
    <tableColumn id="2" uniqueName="2" name="AGE_LEVEL_20_24" queryTableFieldId="2" headerRowDxfId="189" dataDxfId="188" headerRowCellStyle="Normal 2" dataCellStyle="Normal 2"/>
    <tableColumn id="3" uniqueName="3" name="AGE_LEVEL_25_29" queryTableFieldId="3" headerRowDxfId="187" dataDxfId="186" headerRowCellStyle="Normal 2" dataCellStyle="Normal 2"/>
    <tableColumn id="4" uniqueName="4" name="AGE_LEVEL_30_34" queryTableFieldId="4" headerRowDxfId="185" dataDxfId="184" headerRowCellStyle="Normal 2" dataCellStyle="Normal 2"/>
    <tableColumn id="5" uniqueName="5" name="AGE_LEVEL_35_39" queryTableFieldId="5" headerRowDxfId="183" dataDxfId="182" headerRowCellStyle="Normal 2" dataCellStyle="Normal 2"/>
    <tableColumn id="6" uniqueName="6" name="AGE_LEVEL_40_44" queryTableFieldId="6" headerRowDxfId="181" dataDxfId="180" headerRowCellStyle="Normal 2" dataCellStyle="Normal 2"/>
    <tableColumn id="7" uniqueName="7" name="AGE_LEVEL_45_49" queryTableFieldId="7" headerRowDxfId="179" dataDxfId="178" headerRowCellStyle="Normal 2" dataCellStyle="Normal 2"/>
    <tableColumn id="8" uniqueName="8" name="AGE_LEVEL_50_54" queryTableFieldId="8" headerRowDxfId="177" dataDxfId="176" headerRowCellStyle="Normal 2" dataCellStyle="Normal 2"/>
    <tableColumn id="9" uniqueName="9" name="AGE_LEVEL_55_59" queryTableFieldId="9" headerRowDxfId="175" dataDxfId="174" headerRowCellStyle="Normal 2" dataCellStyle="Normal 2"/>
    <tableColumn id="10" uniqueName="10" name="AGE_LEVEL_UP_60" queryTableFieldId="10" headerRowDxfId="173" dataDxfId="172" headerRowCellStyle="Normal 2" dataCellStyle="Normal 2"/>
    <tableColumn id="11" uniqueName="11" name="AGE_LEVEL_NOT_STATED" queryTableFieldId="11" headerRowDxfId="171" dataDxfId="170" headerRowCellStyle="Normal 2" dataCellStyle="Normal 2"/>
    <tableColumn id="12" uniqueName="12" name="TOTAL" queryTableFieldId="12" headerRowDxfId="169" dataDxfId="1" headerRowCellStyle="Normal 2" dataCellStyle="Normal 2"/>
  </tableColumns>
  <tableStyleInfo name="VITAL" showFirstColumn="0" showLastColumn="0" showRowStripes="1" showColumnStripes="0"/>
</table>
</file>

<file path=xl/tables/table8.xml><?xml version="1.0" encoding="utf-8"?>
<table xmlns="http://schemas.openxmlformats.org/spreadsheetml/2006/main" id="6" name="Table_Default__XLS_TAB_10" displayName="Table_Default__XLS_TAB_10" ref="A8:N14" tableType="queryTable" headerRowCount="0" totalsRowCount="1" headerRowDxfId="2147" dataDxfId="2146" totalsRowDxfId="2144" tableBorderDxfId="2145" totalsRowBorderDxfId="2143">
  <tableColumns count="14">
    <tableColumn id="1" uniqueName="1" name="NAT_DESC_ARB" totalsRowLabel="المجموع" queryTableFieldId="1" headerRowDxfId="2142" dataDxfId="2141" totalsRowDxfId="2140" headerRowCellStyle="Normal 2" dataCellStyle="Normal 2"/>
    <tableColumn id="2" uniqueName="2" name="AGE_LEVEL_LESS_20" totalsRowFunction="sum" queryTableFieldId="2" headerRowDxfId="2139" dataDxfId="2138" totalsRowDxfId="2137" headerRowCellStyle="Normal 2" dataCellStyle="Normal 2"/>
    <tableColumn id="3" uniqueName="3" name="AGE_LEVEL_20_24" totalsRowFunction="sum" queryTableFieldId="3" headerRowDxfId="2136" dataDxfId="2135" totalsRowDxfId="2134" headerRowCellStyle="Normal 2" dataCellStyle="Normal 2"/>
    <tableColumn id="4" uniqueName="4" name="AGE_LEVEL_25_29" totalsRowFunction="sum" queryTableFieldId="4" headerRowDxfId="2133" dataDxfId="2132" totalsRowDxfId="2131" headerRowCellStyle="Normal 2" dataCellStyle="Normal 2"/>
    <tableColumn id="5" uniqueName="5" name="AGE_LEVEL_30_34" totalsRowFunction="sum" queryTableFieldId="5" headerRowDxfId="2130" dataDxfId="2129" totalsRowDxfId="2128" headerRowCellStyle="Normal 2" dataCellStyle="Normal 2"/>
    <tableColumn id="6" uniqueName="6" name="AGE_LEVEL_35_39" totalsRowFunction="sum" queryTableFieldId="6" headerRowDxfId="2127" dataDxfId="2126" totalsRowDxfId="2125" headerRowCellStyle="Normal 2" dataCellStyle="Normal 2"/>
    <tableColumn id="7" uniqueName="7" name="AGE_LEVEL_40_44" totalsRowFunction="sum" queryTableFieldId="7" headerRowDxfId="2124" dataDxfId="2123" totalsRowDxfId="2122" headerRowCellStyle="Normal 2" dataCellStyle="Normal 2"/>
    <tableColumn id="8" uniqueName="8" name="AGE_LEVEL_45_49" totalsRowFunction="sum" queryTableFieldId="8" headerRowDxfId="2121" dataDxfId="2120" totalsRowDxfId="2119" headerRowCellStyle="Normal 2" dataCellStyle="Normal 2"/>
    <tableColumn id="9" uniqueName="9" name="AGE_LEVEL_50_54" totalsRowFunction="sum" queryTableFieldId="9" headerRowDxfId="2118" dataDxfId="2117" totalsRowDxfId="2116" headerRowCellStyle="Normal 2" dataCellStyle="Normal 2"/>
    <tableColumn id="10" uniqueName="10" name="AGE_LEVEL_55_59" totalsRowFunction="sum" queryTableFieldId="10" headerRowDxfId="2115" dataDxfId="2114" totalsRowDxfId="2113" headerRowCellStyle="Normal 2" dataCellStyle="Normal 2"/>
    <tableColumn id="11" uniqueName="11" name="AGE_LEVEL_UP_60" totalsRowFunction="sum" queryTableFieldId="11" headerRowDxfId="2112" dataDxfId="2111" totalsRowDxfId="2110" headerRowCellStyle="Normal 2" dataCellStyle="Normal 2"/>
    <tableColumn id="12" uniqueName="12" name="AGE_LEVEL_NOT_STATED" totalsRowFunction="sum" queryTableFieldId="12" headerRowDxfId="2109" dataDxfId="2108" totalsRowDxfId="2107" headerRowCellStyle="Normal 2" dataCellStyle="Normal 2"/>
    <tableColumn id="13" uniqueName="13" name="TOTAL" totalsRowFunction="sum" queryTableFieldId="13" headerRowDxfId="2106" dataDxfId="2105" totalsRowDxfId="2104" headerRowCellStyle="Normal 2" dataCellStyle="Normal 2"/>
    <tableColumn id="14" uniqueName="14" name="NAT_DESC_ENG" totalsRowLabel="Total" queryTableFieldId="14" headerRowDxfId="2103" dataDxfId="2102" totalsRowDxfId="2101" headerRowCellStyle="Normal 2" dataCellStyle="TXT1"/>
  </tableColumns>
  <tableStyleInfo name="VITAL" showFirstColumn="0" showLastColumn="0" showRowStripes="1" showColumnStripes="0"/>
</table>
</file>

<file path=xl/tables/table80.xml><?xml version="1.0" encoding="utf-8"?>
<table xmlns="http://schemas.openxmlformats.org/spreadsheetml/2006/main" id="75" name="Table_Default__XLS_TAB_40_3" displayName="Table_Default__XLS_TAB_40_3" ref="B9:M22" tableType="queryTable" headerRowCount="0" totalsRowShown="0" headerRowDxfId="168" dataDxfId="167" tableBorderDxfId="166" dataCellStyle="Normal 2">
  <tableColumns count="12">
    <tableColumn id="1" uniqueName="1" name="AGE_LEVEL_LESS_20" queryTableFieldId="1" headerRowDxfId="165" dataDxfId="164" headerRowCellStyle="Normal 2" dataCellStyle="Normal 2"/>
    <tableColumn id="2" uniqueName="2" name="AGE_LEVEL_20_24" queryTableFieldId="2" headerRowDxfId="163" dataDxfId="162" headerRowCellStyle="Normal 2" dataCellStyle="Normal 2"/>
    <tableColumn id="3" uniqueName="3" name="AGE_LEVEL_25_29" queryTableFieldId="3" headerRowDxfId="161" dataDxfId="160" headerRowCellStyle="Normal 2" dataCellStyle="Normal 2"/>
    <tableColumn id="4" uniqueName="4" name="AGE_LEVEL_30_34" queryTableFieldId="4" headerRowDxfId="159" dataDxfId="158" headerRowCellStyle="Normal 2" dataCellStyle="Normal 2"/>
    <tableColumn id="5" uniqueName="5" name="AGE_LEVEL_35_39" queryTableFieldId="5" headerRowDxfId="157" dataDxfId="156" headerRowCellStyle="Normal 2" dataCellStyle="Normal 2"/>
    <tableColumn id="6" uniqueName="6" name="AGE_LEVEL_40_44" queryTableFieldId="6" headerRowDxfId="155" dataDxfId="154" headerRowCellStyle="Normal 2" dataCellStyle="Normal 2"/>
    <tableColumn id="7" uniqueName="7" name="AGE_LEVEL_45_49" queryTableFieldId="7" headerRowDxfId="153" dataDxfId="152" headerRowCellStyle="Normal 2" dataCellStyle="Normal 2"/>
    <tableColumn id="8" uniqueName="8" name="AGE_LEVEL_50_54" queryTableFieldId="8" headerRowDxfId="151" dataDxfId="150" headerRowCellStyle="Normal 2" dataCellStyle="Normal 2"/>
    <tableColumn id="9" uniqueName="9" name="AGE_LEVEL_55_59" queryTableFieldId="9" headerRowDxfId="149" dataDxfId="148" headerRowCellStyle="Normal 2" dataCellStyle="Normal 2"/>
    <tableColumn id="10" uniqueName="10" name="AGE_LEVEL_UP_60" queryTableFieldId="10" headerRowDxfId="147" dataDxfId="146" headerRowCellStyle="Normal 2" dataCellStyle="Normal 2"/>
    <tableColumn id="11" uniqueName="11" name="AGE_LEVEL_NOT_STATED" queryTableFieldId="11" headerRowDxfId="145" dataDxfId="144" headerRowCellStyle="Normal 2" dataCellStyle="Normal 2"/>
    <tableColumn id="12" uniqueName="12" name="TOTAL" queryTableFieldId="12" headerRowDxfId="143" dataDxfId="0" headerRowCellStyle="Normal 2" dataCellStyle="Normal 2"/>
  </tableColumns>
  <tableStyleInfo name="VITAL" showFirstColumn="0" showLastColumn="0" showRowStripes="1" showColumnStripes="0"/>
</table>
</file>

<file path=xl/tables/table81.xml><?xml version="1.0" encoding="utf-8"?>
<table xmlns="http://schemas.openxmlformats.org/spreadsheetml/2006/main" id="76" name="Table_Default__XLS_TAB_41_1" displayName="Table_Default__XLS_TAB_41_1" ref="B9:J19" tableType="queryTable" headerRowCount="0" totalsRowShown="0" headerRowDxfId="142" dataDxfId="141" tableBorderDxfId="140" headerRowCellStyle="Normal 2" dataCellStyle="Normal 2">
  <tableColumns count="9">
    <tableColumn id="1" uniqueName="1" name="SON_CNT_0" queryTableFieldId="1" headerRowDxfId="139" dataDxfId="138" headerRowCellStyle="Normal 2" dataCellStyle="Normal 2"/>
    <tableColumn id="2" uniqueName="2" name="SON_CNT_1" queryTableFieldId="2" headerRowDxfId="137" dataDxfId="136" headerRowCellStyle="Normal 2" dataCellStyle="Normal 2"/>
    <tableColumn id="3" uniqueName="3" name="SON_CNT_2" queryTableFieldId="3" headerRowDxfId="135" dataDxfId="134" headerRowCellStyle="Normal 2" dataCellStyle="Normal 2"/>
    <tableColumn id="4" uniqueName="4" name="SON_CNT_3" queryTableFieldId="4" headerRowDxfId="133" dataDxfId="132" headerRowCellStyle="Normal 2" dataCellStyle="Normal 2"/>
    <tableColumn id="5" uniqueName="5" name="SON_CNT_4" queryTableFieldId="5" headerRowDxfId="131" dataDxfId="130" headerRowCellStyle="Normal 2" dataCellStyle="Normal 2"/>
    <tableColumn id="6" uniqueName="6" name="SON_CNT_5" queryTableFieldId="6" headerRowDxfId="129" dataDxfId="128" headerRowCellStyle="Normal 2" dataCellStyle="Normal 2"/>
    <tableColumn id="7" uniqueName="7" name="SON_CNT_UP_6" queryTableFieldId="7" headerRowDxfId="127" dataDxfId="126" headerRowCellStyle="Normal 2" dataCellStyle="Normal 2"/>
    <tableColumn id="8" uniqueName="8" name="SON_CNT_NOT_STATED" queryTableFieldId="8" headerRowDxfId="125" dataDxfId="124" headerRowCellStyle="Normal 2" dataCellStyle="Normal 2"/>
    <tableColumn id="9" uniqueName="9" name="TOTAL" queryTableFieldId="9" headerRowDxfId="123" dataDxfId="122" headerRowCellStyle="Normal 2" dataCellStyle="Normal 2"/>
  </tableColumns>
  <tableStyleInfo name="VITAL" showFirstColumn="0" showLastColumn="0" showRowStripes="1" showColumnStripes="0"/>
</table>
</file>

<file path=xl/tables/table82.xml><?xml version="1.0" encoding="utf-8"?>
<table xmlns="http://schemas.openxmlformats.org/spreadsheetml/2006/main" id="77" name="Table_Default__XLS_TAB_41_2" displayName="Table_Default__XLS_TAB_41_2" ref="B9:J19" tableType="queryTable" headerRowCount="0" totalsRowShown="0" headerRowDxfId="121" dataDxfId="120" tableBorderDxfId="119" headerRowCellStyle="Normal 2" dataCellStyle="Normal 2">
  <tableColumns count="9">
    <tableColumn id="1" uniqueName="1" name="SON_CNT_0" queryTableFieldId="1" headerRowDxfId="118" dataDxfId="117" headerRowCellStyle="Normal 2" dataCellStyle="Normal 2"/>
    <tableColumn id="2" uniqueName="2" name="SON_CNT_1" queryTableFieldId="2" headerRowDxfId="116" dataDxfId="115" headerRowCellStyle="Normal 2" dataCellStyle="Normal 2"/>
    <tableColumn id="3" uniqueName="3" name="SON_CNT_2" queryTableFieldId="3" headerRowDxfId="114" dataDxfId="113" headerRowCellStyle="Normal 2" dataCellStyle="Normal 2"/>
    <tableColumn id="4" uniqueName="4" name="SON_CNT_3" queryTableFieldId="4" headerRowDxfId="112" dataDxfId="111" headerRowCellStyle="Normal 2" dataCellStyle="Normal 2"/>
    <tableColumn id="5" uniqueName="5" name="SON_CNT_4" queryTableFieldId="5" headerRowDxfId="110" dataDxfId="109" headerRowCellStyle="Normal 2" dataCellStyle="Normal 2"/>
    <tableColumn id="6" uniqueName="6" name="SON_CNT_5" queryTableFieldId="6" headerRowDxfId="108" dataDxfId="107" headerRowCellStyle="Normal 2" dataCellStyle="Normal 2"/>
    <tableColumn id="7" uniqueName="7" name="SON_CNT_UP_6" queryTableFieldId="7" headerRowDxfId="106" dataDxfId="105" headerRowCellStyle="Normal 2" dataCellStyle="Normal 2"/>
    <tableColumn id="8" uniqueName="8" name="SON_CNT_NOT_STATED" queryTableFieldId="8" headerRowDxfId="104" dataDxfId="103" headerRowCellStyle="Normal 2" dataCellStyle="Normal 2"/>
    <tableColumn id="9" uniqueName="9" name="TOTAL" queryTableFieldId="9" headerRowDxfId="102" dataDxfId="101" headerRowCellStyle="Normal 2" dataCellStyle="Normal 2"/>
  </tableColumns>
  <tableStyleInfo name="VITAL" showFirstColumn="0" showLastColumn="0" showRowStripes="1" showColumnStripes="0"/>
</table>
</file>

<file path=xl/tables/table83.xml><?xml version="1.0" encoding="utf-8"?>
<table xmlns="http://schemas.openxmlformats.org/spreadsheetml/2006/main" id="78" name="Table_Default__XLS_TAB_41_3" displayName="Table_Default__XLS_TAB_41_3" ref="B9:J19" tableType="queryTable" headerRowCount="0" totalsRowShown="0" headerRowDxfId="100" dataDxfId="99" tableBorderDxfId="98" headerRowCellStyle="Normal 2" dataCellStyle="Normal 2">
  <tableColumns count="9">
    <tableColumn id="1" uniqueName="1" name="SON_CNT_0" queryTableFieldId="1" headerRowDxfId="97" dataDxfId="96" headerRowCellStyle="Normal 2" dataCellStyle="Normal 2"/>
    <tableColumn id="2" uniqueName="2" name="SON_CNT_1" queryTableFieldId="2" headerRowDxfId="95" dataDxfId="94" headerRowCellStyle="Normal 2" dataCellStyle="Normal 2"/>
    <tableColumn id="3" uniqueName="3" name="SON_CNT_2" queryTableFieldId="3" headerRowDxfId="93" dataDxfId="92" headerRowCellStyle="Normal 2" dataCellStyle="Normal 2"/>
    <tableColumn id="4" uniqueName="4" name="SON_CNT_3" queryTableFieldId="4" headerRowDxfId="91" dataDxfId="90" headerRowCellStyle="Normal 2" dataCellStyle="Normal 2"/>
    <tableColumn id="5" uniqueName="5" name="SON_CNT_4" queryTableFieldId="5" headerRowDxfId="89" dataDxfId="88" headerRowCellStyle="Normal 2" dataCellStyle="Normal 2"/>
    <tableColumn id="6" uniqueName="6" name="SON_CNT_5" queryTableFieldId="6" headerRowDxfId="87" dataDxfId="86" headerRowCellStyle="Normal 2" dataCellStyle="Normal 2"/>
    <tableColumn id="7" uniqueName="7" name="SON_CNT_UP_6" queryTableFieldId="7" headerRowDxfId="85" dataDxfId="84" headerRowCellStyle="Normal 2" dataCellStyle="Normal 2"/>
    <tableColumn id="8" uniqueName="8" name="SON_CNT_NOT_STATED" queryTableFieldId="8" headerRowDxfId="83" dataDxfId="82" headerRowCellStyle="Normal 2" dataCellStyle="Normal 2"/>
    <tableColumn id="9" uniqueName="9" name="TOTAL" queryTableFieldId="9" headerRowDxfId="81" dataDxfId="80" headerRowCellStyle="Normal 2" dataCellStyle="Normal 2"/>
  </tableColumns>
  <tableStyleInfo name="VITAL" showFirstColumn="0" showLastColumn="0" showRowStripes="1" showColumnStripes="0"/>
</table>
</file>

<file path=xl/tables/table84.xml><?xml version="1.0" encoding="utf-8"?>
<table xmlns="http://schemas.openxmlformats.org/spreadsheetml/2006/main" id="79" name="Table_Default__XLS_TAB_42" displayName="Table_Default__XLS_TAB_42" ref="C8:J17" tableType="queryTable" headerRowCount="0" totalsRowShown="0" headerRowDxfId="79" dataDxfId="78" tableBorderDxfId="77" headerRowCellStyle="Normal 2" dataCellStyle="Normal 2">
  <tableColumns count="8">
    <tableColumn id="1" uniqueName="1" name="CNT_0" queryTableFieldId="1" headerRowDxfId="76" dataDxfId="75" headerRowCellStyle="Normal 2" dataCellStyle="Normal 2"/>
    <tableColumn id="2" uniqueName="2" name="CNT_1" queryTableFieldId="2" headerRowDxfId="74" dataDxfId="73" headerRowCellStyle="Normal 2" dataCellStyle="Normal 2"/>
    <tableColumn id="3" uniqueName="3" name="CNT_2" queryTableFieldId="3" headerRowDxfId="72" dataDxfId="71" headerRowCellStyle="Normal 2" dataCellStyle="Normal 2"/>
    <tableColumn id="4" uniqueName="4" name="CNT_3" queryTableFieldId="4" headerRowDxfId="70" dataDxfId="69" headerRowCellStyle="Normal 2" dataCellStyle="Normal 2"/>
    <tableColumn id="5" uniqueName="5" name="CNT_4" queryTableFieldId="5" headerRowDxfId="68" dataDxfId="67" headerRowCellStyle="Normal 2" dataCellStyle="Normal 2"/>
    <tableColumn id="6" uniqueName="6" name="CNT_5" queryTableFieldId="6" headerRowDxfId="66" dataDxfId="65" headerRowCellStyle="Normal 2" dataCellStyle="Normal 2"/>
    <tableColumn id="7" uniqueName="7" name="CNT_6" queryTableFieldId="7" headerRowDxfId="64" dataDxfId="63" headerRowCellStyle="Normal 2" dataCellStyle="Normal 2"/>
    <tableColumn id="8" uniqueName="8" name="NOT_STATED" queryTableFieldId="8" headerRowDxfId="62" dataDxfId="61" headerRowCellStyle="Normal 2" dataCellStyle="Normal 2"/>
  </tableColumns>
  <tableStyleInfo name="VITAL" showFirstColumn="0" showLastColumn="0" showRowStripes="1" showColumnStripes="0"/>
</table>
</file>

<file path=xl/tables/table85.xml><?xml version="1.0" encoding="utf-8"?>
<table xmlns="http://schemas.openxmlformats.org/spreadsheetml/2006/main" id="81" name="Table_Default__XLS_TAB_43" displayName="Table_Default__XLS_TAB_43" ref="A8:L19" tableType="queryTable" headerRowCount="0" totalsRowShown="0" headerRowDxfId="60" tableBorderDxfId="59" headerRowCellStyle="Normal 2">
  <tableColumns count="12">
    <tableColumn id="1" uniqueName="1" name="MARRD_PRD_HUSBD_ARB" queryTableFieldId="1" headerRowDxfId="58" dataDxfId="57" headerRowCellStyle="Normal 2" dataCellStyle="TXT1"/>
    <tableColumn id="2" uniqueName="2" name="CAT_1_SON_CNT" queryTableFieldId="2" headerRowDxfId="56" dataDxfId="55" headerRowCellStyle="Normal 2" dataCellStyle="Normal 2"/>
    <tableColumn id="3" uniqueName="3" name="CAT_1_CASE_CNT" queryTableFieldId="3" headerRowDxfId="54" dataDxfId="53" headerRowCellStyle="Normal 2" dataCellStyle="Normal 2"/>
    <tableColumn id="4" uniqueName="4" name="CAT_2_SON_CNT" queryTableFieldId="4" headerRowDxfId="52" dataDxfId="51" headerRowCellStyle="Normal 2" dataCellStyle="Normal 2"/>
    <tableColumn id="5" uniqueName="5" name="CAT_2_CASE_CNT" queryTableFieldId="5" headerRowDxfId="50" dataDxfId="49" headerRowCellStyle="Normal 2" dataCellStyle="Normal 2"/>
    <tableColumn id="6" uniqueName="6" name="CAT_3_SON_CNT" queryTableFieldId="6" headerRowDxfId="48" dataDxfId="47" headerRowCellStyle="Normal 2" dataCellStyle="Normal 2"/>
    <tableColumn id="7" uniqueName="7" name="CAT_3_CASE_CNT" queryTableFieldId="7" headerRowDxfId="46" dataDxfId="45" headerRowCellStyle="Normal 2" dataCellStyle="Normal 2"/>
    <tableColumn id="8" uniqueName="8" name="CAT_4_SON_CNT" queryTableFieldId="8" headerRowDxfId="44" dataDxfId="43" headerRowCellStyle="Normal 2" dataCellStyle="Normal 2"/>
    <tableColumn id="9" uniqueName="9" name="CAT_4_CASE_CNT" queryTableFieldId="9" headerRowDxfId="42" dataDxfId="41" headerRowCellStyle="Normal 2" dataCellStyle="Normal 2"/>
    <tableColumn id="10" uniqueName="10" name="CAT_TOT_SON_CNT" queryTableFieldId="10" headerRowDxfId="40" dataDxfId="39" headerRowCellStyle="Normal 2" dataCellStyle="Normal 2"/>
    <tableColumn id="11" uniqueName="11" name="CAT_TOT_CASE_CNT" queryTableFieldId="11" headerRowDxfId="38" dataDxfId="37" headerRowCellStyle="Normal 2" dataCellStyle="Normal 2"/>
    <tableColumn id="12" uniqueName="12" name="MARRD_PRD_HUSBD_ENG" queryTableFieldId="12" headerRowDxfId="36" dataDxfId="35" headerRowCellStyle="Normal 2" dataCellStyle="TXT1"/>
  </tableColumns>
  <tableStyleInfo name="VITAL" showFirstColumn="0" showLastColumn="0" showRowStripes="1" showColumnStripes="0"/>
</table>
</file>

<file path=xl/tables/table86.xml><?xml version="1.0" encoding="utf-8"?>
<table xmlns="http://schemas.openxmlformats.org/spreadsheetml/2006/main" id="83" name="Table_Default__XLS_TAB_27_284" displayName="Table_Default__XLS_TAB_27_284" ref="A7:E13" tableType="queryTable" headerRowCount="0" totalsRowShown="0" headerRowDxfId="34" dataDxfId="33" tableBorderDxfId="32" headerRowCellStyle="Normal 2" dataCellStyle="Normal 2">
  <tableColumns count="5">
    <tableColumn id="1" uniqueName="1" name="MARR_PRD_ARB" queryTableFieldId="1" headerRowDxfId="31" dataDxfId="30" totalsRowDxfId="29" headerRowCellStyle="Normal 2" dataCellStyle="TXT1"/>
    <tableColumn id="2" uniqueName="2" name="QATARI_SON_CNT" queryTableFieldId="2" headerRowDxfId="28" dataDxfId="27" totalsRowDxfId="26" headerRowCellStyle="Normal 2" dataCellStyle="Normal 2"/>
    <tableColumn id="3" uniqueName="3" name="NON_QATARI_SON_CNT" queryTableFieldId="3" headerRowDxfId="25" dataDxfId="24" totalsRowDxfId="23" headerRowCellStyle="Normal 2" dataCellStyle="Normal 2"/>
    <tableColumn id="4" uniqueName="4" name="TOTAL" queryTableFieldId="4" headerRowDxfId="22" dataDxfId="21" totalsRowDxfId="20" headerRowCellStyle="Normal 2" dataCellStyle="Normal 2"/>
    <tableColumn id="5" uniqueName="5" name="MARR_PRD_ENG" queryTableFieldId="5" headerRowDxfId="19" dataDxfId="18" totalsRowDxfId="17" headerRowCellStyle="Normal 2" dataCellStyle="TXT1"/>
  </tableColumns>
  <tableStyleInfo name="VITAL" showFirstColumn="0" showLastColumn="0" showRowStripes="1" showColumnStripes="0"/>
</table>
</file>

<file path=xl/tables/table87.xml><?xml version="1.0" encoding="utf-8"?>
<table xmlns="http://schemas.openxmlformats.org/spreadsheetml/2006/main" id="84" name="Table_Default__XLS_TAB_48" displayName="Table_Default__XLS_TAB_48" ref="A7:E13" tableType="queryTable" headerRowCount="0" totalsRowShown="0" headerRowDxfId="16" dataDxfId="15" tableBorderDxfId="14" headerRowCellStyle="Normal 2" dataCellStyle="Normal 2">
  <tableColumns count="5">
    <tableColumn id="1" uniqueName="1" name="MARR_PRD_ARB" queryTableFieldId="1" headerRowDxfId="13" dataDxfId="12" headerRowCellStyle="Normal 2" dataCellStyle="TXT1"/>
    <tableColumn id="2" uniqueName="2" name="QATARI_SON_CNT" queryTableFieldId="2" headerRowDxfId="11" dataDxfId="10" headerRowCellStyle="Normal 2" dataCellStyle="Normal 2"/>
    <tableColumn id="3" uniqueName="3" name="NON_QATARI_SON_CNT" queryTableFieldId="3" headerRowDxfId="9" dataDxfId="8" headerRowCellStyle="Normal 2" dataCellStyle="Normal 2"/>
    <tableColumn id="4" uniqueName="4" name="TOTAL" queryTableFieldId="4" headerRowDxfId="7" dataDxfId="6" headerRowCellStyle="Normal 2" dataCellStyle="Normal 2"/>
    <tableColumn id="5" uniqueName="5" name="MARR_PRD_ENG" queryTableFieldId="5" headerRowDxfId="5" dataDxfId="4" headerRowCellStyle="Normal 2" dataCellStyle="TXT1"/>
  </tableColumns>
  <tableStyleInfo name="VITAL" showFirstColumn="0" showLastColumn="0" showRowStripes="1" showColumnStripes="0"/>
</table>
</file>

<file path=xl/tables/table9.xml><?xml version="1.0" encoding="utf-8"?>
<table xmlns="http://schemas.openxmlformats.org/spreadsheetml/2006/main" id="7" name="Table_Default__XLS_TAB_11_1" displayName="Table_Default__XLS_TAB_11_1" ref="A9:N23" tableType="queryTable" headerRowCount="0" totalsRowCount="1" headerRowDxfId="2100" dataDxfId="2099" totalsRowDxfId="2097" tableBorderDxfId="2098" totalsRowBorderDxfId="2096">
  <tableColumns count="14">
    <tableColumn id="1" uniqueName="1" name="AGE_LEVEL_HUSBD_ARB" totalsRowLabel="المجموع" queryTableFieldId="1" headerRowDxfId="2095" dataDxfId="2094" totalsRowDxfId="2093" headerRowCellStyle="Normal 2" dataCellStyle="Normal 2"/>
    <tableColumn id="2" uniqueName="2" name="AGE_LEVEL_LESS_20" totalsRowFunction="sum" queryTableFieldId="2" headerRowDxfId="2092" dataDxfId="2091" totalsRowDxfId="2090" headerRowCellStyle="Normal 2" dataCellStyle="Normal 2"/>
    <tableColumn id="3" uniqueName="3" name="AGE_LEVEL_20_24" totalsRowFunction="sum" queryTableFieldId="3" headerRowDxfId="2089" dataDxfId="2088" totalsRowDxfId="2087" headerRowCellStyle="Normal 2" dataCellStyle="Normal 2"/>
    <tableColumn id="4" uniqueName="4" name="AGE_LEVEL_25_29" totalsRowFunction="sum" queryTableFieldId="4" headerRowDxfId="2086" dataDxfId="2085" totalsRowDxfId="2084" headerRowCellStyle="Normal 2" dataCellStyle="Normal 2"/>
    <tableColumn id="5" uniqueName="5" name="AGE_LEVEL_30_34" totalsRowFunction="sum" queryTableFieldId="5" headerRowDxfId="2083" dataDxfId="2082" totalsRowDxfId="2081" headerRowCellStyle="Normal 2" dataCellStyle="Normal 2"/>
    <tableColumn id="6" uniqueName="6" name="AGE_LEVEL_35_39" totalsRowFunction="sum" queryTableFieldId="6" headerRowDxfId="2080" dataDxfId="2079" totalsRowDxfId="2078" headerRowCellStyle="Normal 2" dataCellStyle="Normal 2"/>
    <tableColumn id="7" uniqueName="7" name="AGE_LEVEL_40_44" totalsRowFunction="sum" queryTableFieldId="7" headerRowDxfId="2077" dataDxfId="2076" totalsRowDxfId="2075" headerRowCellStyle="Normal 2" dataCellStyle="Normal 2"/>
    <tableColumn id="8" uniqueName="8" name="AGE_LEVEL_45_49" totalsRowFunction="sum" queryTableFieldId="8" headerRowDxfId="2074" dataDxfId="2073" totalsRowDxfId="2072" headerRowCellStyle="Normal 2" dataCellStyle="Normal 2"/>
    <tableColumn id="9" uniqueName="9" name="AGE_LEVEL_50_54" totalsRowFunction="sum" queryTableFieldId="9" headerRowDxfId="2071" dataDxfId="2070" totalsRowDxfId="2069" headerRowCellStyle="Normal 2" dataCellStyle="Normal 2"/>
    <tableColumn id="10" uniqueName="10" name="AGE_LEVEL_55_59" totalsRowFunction="sum" queryTableFieldId="10" headerRowDxfId="2068" dataDxfId="2067" totalsRowDxfId="2066" headerRowCellStyle="Normal 2" dataCellStyle="Normal 2"/>
    <tableColumn id="11" uniqueName="11" name="AGE_LEVEL_UP_60" totalsRowFunction="sum" queryTableFieldId="11" headerRowDxfId="2065" dataDxfId="2064" totalsRowDxfId="2063" headerRowCellStyle="Normal 2" dataCellStyle="Normal 2"/>
    <tableColumn id="12" uniqueName="12" name="AGE_LEVEL_NOT_STATED" totalsRowFunction="sum" queryTableFieldId="12" headerRowDxfId="2062" dataDxfId="2061" totalsRowDxfId="2060" headerRowCellStyle="Normal 2" dataCellStyle="Normal 2"/>
    <tableColumn id="13" uniqueName="13" name="TOTAL" totalsRowFunction="sum" queryTableFieldId="13" headerRowDxfId="2059" dataDxfId="2058" totalsRowDxfId="2057" headerRowCellStyle="Normal 2" dataCellStyle="Normal 2"/>
    <tableColumn id="14" uniqueName="14" name="AGE_LEVEL_HUSBD_ENG" totalsRowLabel="Total" queryTableFieldId="14" headerRowDxfId="2056" dataDxfId="2055" totalsRowDxfId="2054" headerRowCellStyle="Normal 2" dataCellStyle="Normal 2"/>
  </tableColumns>
  <tableStyleInfo name="VITAL"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70.xml"/><Relationship Id="rId2" Type="http://schemas.openxmlformats.org/officeDocument/2006/relationships/drawing" Target="../drawings/drawing9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71.xml"/><Relationship Id="rId2" Type="http://schemas.openxmlformats.org/officeDocument/2006/relationships/drawing" Target="../drawings/drawing9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72.xml"/><Relationship Id="rId2" Type="http://schemas.openxmlformats.org/officeDocument/2006/relationships/drawing" Target="../drawings/drawing9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3" Type="http://schemas.openxmlformats.org/officeDocument/2006/relationships/table" Target="../tables/table73.xml"/><Relationship Id="rId2" Type="http://schemas.openxmlformats.org/officeDocument/2006/relationships/drawing" Target="../drawings/drawing9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3" Type="http://schemas.openxmlformats.org/officeDocument/2006/relationships/table" Target="../tables/table74.xml"/><Relationship Id="rId2" Type="http://schemas.openxmlformats.org/officeDocument/2006/relationships/drawing" Target="../drawings/drawing98.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3" Type="http://schemas.openxmlformats.org/officeDocument/2006/relationships/table" Target="../tables/table75.xml"/><Relationship Id="rId2" Type="http://schemas.openxmlformats.org/officeDocument/2006/relationships/drawing" Target="../drawings/drawing100.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3" Type="http://schemas.openxmlformats.org/officeDocument/2006/relationships/table" Target="../tables/table76.xml"/><Relationship Id="rId2" Type="http://schemas.openxmlformats.org/officeDocument/2006/relationships/drawing" Target="../drawings/drawing102.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3" Type="http://schemas.openxmlformats.org/officeDocument/2006/relationships/table" Target="../tables/table77.xml"/><Relationship Id="rId2" Type="http://schemas.openxmlformats.org/officeDocument/2006/relationships/drawing" Target="../drawings/drawing104.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3" Type="http://schemas.openxmlformats.org/officeDocument/2006/relationships/table" Target="../tables/table78.xml"/><Relationship Id="rId2" Type="http://schemas.openxmlformats.org/officeDocument/2006/relationships/drawing" Target="../drawings/drawing106.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drawing" Target="../drawings/drawing10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drawing" Target="../drawings/drawing110.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3" Type="http://schemas.openxmlformats.org/officeDocument/2006/relationships/table" Target="../tables/table81.xml"/><Relationship Id="rId2" Type="http://schemas.openxmlformats.org/officeDocument/2006/relationships/drawing" Target="../drawings/drawing112.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3" Type="http://schemas.openxmlformats.org/officeDocument/2006/relationships/table" Target="../tables/table82.xml"/><Relationship Id="rId2" Type="http://schemas.openxmlformats.org/officeDocument/2006/relationships/drawing" Target="../drawings/drawing113.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table" Target="../tables/table83.xml"/><Relationship Id="rId2" Type="http://schemas.openxmlformats.org/officeDocument/2006/relationships/drawing" Target="../drawings/drawing114.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3" Type="http://schemas.openxmlformats.org/officeDocument/2006/relationships/table" Target="../tables/table84.xml"/><Relationship Id="rId2" Type="http://schemas.openxmlformats.org/officeDocument/2006/relationships/drawing" Target="../drawings/drawing115.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3" Type="http://schemas.openxmlformats.org/officeDocument/2006/relationships/table" Target="../tables/table85.xml"/><Relationship Id="rId2" Type="http://schemas.openxmlformats.org/officeDocument/2006/relationships/drawing" Target="../drawings/drawing117.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3" Type="http://schemas.openxmlformats.org/officeDocument/2006/relationships/table" Target="../tables/table86.xml"/><Relationship Id="rId2" Type="http://schemas.openxmlformats.org/officeDocument/2006/relationships/drawing" Target="../drawings/drawing11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3" Type="http://schemas.openxmlformats.org/officeDocument/2006/relationships/table" Target="../tables/table87.xml"/><Relationship Id="rId2" Type="http://schemas.openxmlformats.org/officeDocument/2006/relationships/drawing" Target="../drawings/drawing11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6" Type="http://schemas.openxmlformats.org/officeDocument/2006/relationships/hyperlink" Target="file://qsa-app01.qsa.local/Population/&#1606;&#1588;&#1585;&#1575;&#1578;/&#1575;&#1604;&#1586;&#1608;&#1575;&#1580;%20&#1608;&#1575;&#1604;&#1591;&#1604;&#1575;&#1602;/2014/Bulletin_Marriages_Divorces_DB_2013.xlsx" TargetMode="External"/><Relationship Id="rId21" Type="http://schemas.openxmlformats.org/officeDocument/2006/relationships/hyperlink" Target="file://qsa-app01.qsa.local/Population/&#1606;&#1588;&#1585;&#1575;&#1578;/&#1575;&#1604;&#1586;&#1608;&#1575;&#1580;%20&#1608;&#1575;&#1604;&#1591;&#1604;&#1575;&#1602;/2014/Bulletin_Marriages_Divorces_DB_2013.xlsx" TargetMode="External"/><Relationship Id="rId42" Type="http://schemas.openxmlformats.org/officeDocument/2006/relationships/hyperlink" Target="file://qsa-app01.qsa.local/Population/&#1606;&#1588;&#1585;&#1575;&#1578;/&#1575;&#1604;&#1586;&#1608;&#1575;&#1580;%20&#1608;&#1575;&#1604;&#1591;&#1604;&#1575;&#1602;/2014/Bulletin_Marriages_Divorces_DB_2013.xlsx" TargetMode="External"/><Relationship Id="rId47" Type="http://schemas.openxmlformats.org/officeDocument/2006/relationships/hyperlink" Target="file://qsa-app01.qsa.local/Population/&#1606;&#1588;&#1585;&#1575;&#1578;/&#1575;&#1604;&#1586;&#1608;&#1575;&#1580;%20&#1608;&#1575;&#1604;&#1591;&#1604;&#1575;&#1602;/2014/Bulletin_Marriages_Divorces_DB_2013.xlsx" TargetMode="External"/><Relationship Id="rId63" Type="http://schemas.openxmlformats.org/officeDocument/2006/relationships/hyperlink" Target="file://qsa-app01.qsa.local/Population/&#1606;&#1588;&#1585;&#1575;&#1578;/&#1575;&#1604;&#1586;&#1608;&#1575;&#1580;%20&#1608;&#1575;&#1604;&#1591;&#1604;&#1575;&#1602;/2014/Bulletin_Marriages_Divorces_DB_2013.xlsx" TargetMode="External"/><Relationship Id="rId68" Type="http://schemas.openxmlformats.org/officeDocument/2006/relationships/hyperlink" Target="file://qsa-app01.qsa.local/Population/&#1606;&#1588;&#1585;&#1575;&#1578;/&#1575;&#1604;&#1586;&#1608;&#1575;&#1580;%20&#1608;&#1575;&#1604;&#1591;&#1604;&#1575;&#1602;/2014/Bulletin_Marriages_Divorces_DB_2013.xlsx" TargetMode="External"/><Relationship Id="rId84" Type="http://schemas.openxmlformats.org/officeDocument/2006/relationships/hyperlink" Target="file://qsa-app01.qsa.local/Population/&#1606;&#1588;&#1585;&#1575;&#1578;/&#1575;&#1604;&#1586;&#1608;&#1575;&#1580;%20&#1608;&#1575;&#1604;&#1591;&#1604;&#1575;&#1602;/2014/Bulletin_Marriages_Divorces_DB_2013.xlsx" TargetMode="External"/><Relationship Id="rId89" Type="http://schemas.openxmlformats.org/officeDocument/2006/relationships/hyperlink" Target="file://qsa-app01.qsa.local/Population/&#1606;&#1588;&#1585;&#1575;&#1578;/&#1575;&#1604;&#1586;&#1608;&#1575;&#1580;%20&#1608;&#1575;&#1604;&#1591;&#1604;&#1575;&#1602;/2014/Bulletin_Marriages_Divorces_DB_2013.xlsx" TargetMode="External"/><Relationship Id="rId16" Type="http://schemas.openxmlformats.org/officeDocument/2006/relationships/hyperlink" Target="file://qsa-app01.qsa.local/Population/&#1606;&#1588;&#1585;&#1575;&#1578;/&#1575;&#1604;&#1586;&#1608;&#1575;&#1580;%20&#1608;&#1575;&#1604;&#1591;&#1604;&#1575;&#1602;/2014/Bulletin_Marriages_Divorces_DB_2013.xlsx" TargetMode="External"/><Relationship Id="rId11" Type="http://schemas.openxmlformats.org/officeDocument/2006/relationships/hyperlink" Target="file://qsa-app01.qsa.local/Population/&#1606;&#1588;&#1585;&#1575;&#1578;/&#1575;&#1604;&#1586;&#1608;&#1575;&#1580;%20&#1608;&#1575;&#1604;&#1591;&#1604;&#1575;&#1602;/2014/Bulletin_Marriages_Divorces_DB_2013.xlsx" TargetMode="External"/><Relationship Id="rId32" Type="http://schemas.openxmlformats.org/officeDocument/2006/relationships/hyperlink" Target="file://qsa-app01.qsa.local/Population/&#1606;&#1588;&#1585;&#1575;&#1578;/&#1575;&#1604;&#1586;&#1608;&#1575;&#1580;%20&#1608;&#1575;&#1604;&#1591;&#1604;&#1575;&#1602;/2014/Bulletin_Marriages_Divorces_DB_2013.xlsx" TargetMode="External"/><Relationship Id="rId37" Type="http://schemas.openxmlformats.org/officeDocument/2006/relationships/hyperlink" Target="file://qsa-app01.qsa.local/Population/&#1606;&#1588;&#1585;&#1575;&#1578;/&#1575;&#1604;&#1586;&#1608;&#1575;&#1580;%20&#1608;&#1575;&#1604;&#1591;&#1604;&#1575;&#1602;/2014/Bulletin_Marriages_Divorces_DB_2013.xlsx" TargetMode="External"/><Relationship Id="rId53" Type="http://schemas.openxmlformats.org/officeDocument/2006/relationships/hyperlink" Target="file://qsa-app01.qsa.local/Population/&#1606;&#1588;&#1585;&#1575;&#1578;/&#1575;&#1604;&#1586;&#1608;&#1575;&#1580;%20&#1608;&#1575;&#1604;&#1591;&#1604;&#1575;&#1602;/2014/Bulletin_Marriages_Divorces_DB_2013.xlsx" TargetMode="External"/><Relationship Id="rId58" Type="http://schemas.openxmlformats.org/officeDocument/2006/relationships/hyperlink" Target="file://qsa-app01.qsa.local/Population/&#1606;&#1588;&#1585;&#1575;&#1578;/&#1575;&#1604;&#1586;&#1608;&#1575;&#1580;%20&#1608;&#1575;&#1604;&#1591;&#1604;&#1575;&#1602;/2014/Bulletin_Marriages_Divorces_DB_2013.xlsx" TargetMode="External"/><Relationship Id="rId74" Type="http://schemas.openxmlformats.org/officeDocument/2006/relationships/hyperlink" Target="file://qsa-app01.qsa.local/Population/&#1606;&#1588;&#1585;&#1575;&#1578;/&#1575;&#1604;&#1586;&#1608;&#1575;&#1580;%20&#1608;&#1575;&#1604;&#1591;&#1604;&#1575;&#1602;/2014/Bulletin_Marriages_Divorces_DB_2013.xlsx" TargetMode="External"/><Relationship Id="rId79" Type="http://schemas.openxmlformats.org/officeDocument/2006/relationships/hyperlink" Target="file://qsa-app01.qsa.local/Population/&#1606;&#1588;&#1585;&#1575;&#1578;/&#1575;&#1604;&#1586;&#1608;&#1575;&#1580;%20&#1608;&#1575;&#1604;&#1591;&#1604;&#1575;&#1602;/2014/Bulletin_Marriages_Divorces_DB_2013.xlsx" TargetMode="External"/><Relationship Id="rId5" Type="http://schemas.openxmlformats.org/officeDocument/2006/relationships/hyperlink" Target="file://qsa-app01.qsa.local/Population/&#1606;&#1588;&#1585;&#1575;&#1578;/&#1575;&#1604;&#1586;&#1608;&#1575;&#1580;%20&#1608;&#1575;&#1604;&#1591;&#1604;&#1575;&#1602;/2014/Bulletin_Marriages_Divorces_DB_2013.xlsx" TargetMode="External"/><Relationship Id="rId90" Type="http://schemas.openxmlformats.org/officeDocument/2006/relationships/hyperlink" Target="file://qsa-app01.qsa.local/Population/&#1606;&#1588;&#1585;&#1575;&#1578;/&#1575;&#1604;&#1586;&#1608;&#1575;&#1580;%20&#1608;&#1575;&#1604;&#1591;&#1604;&#1575;&#1602;/2014/Bulletin_Marriages_Divorces_DB_2013.xlsx" TargetMode="External"/><Relationship Id="rId14" Type="http://schemas.openxmlformats.org/officeDocument/2006/relationships/hyperlink" Target="file://qsa-app01.qsa.local/Population/&#1606;&#1588;&#1585;&#1575;&#1578;/&#1575;&#1604;&#1586;&#1608;&#1575;&#1580;%20&#1608;&#1575;&#1604;&#1591;&#1604;&#1575;&#1602;/2014/Bulletin_Marriages_Divorces_DB_2013.xlsx" TargetMode="External"/><Relationship Id="rId22" Type="http://schemas.openxmlformats.org/officeDocument/2006/relationships/hyperlink" Target="file://qsa-app01.qsa.local/Population/&#1606;&#1588;&#1585;&#1575;&#1578;/&#1575;&#1604;&#1586;&#1608;&#1575;&#1580;%20&#1608;&#1575;&#1604;&#1591;&#1604;&#1575;&#1602;/2014/Bulletin_Marriages_Divorces_DB_2013.xlsx" TargetMode="External"/><Relationship Id="rId27" Type="http://schemas.openxmlformats.org/officeDocument/2006/relationships/hyperlink" Target="file://qsa-app01.qsa.local/Population/&#1606;&#1588;&#1585;&#1575;&#1578;/&#1575;&#1604;&#1586;&#1608;&#1575;&#1580;%20&#1608;&#1575;&#1604;&#1591;&#1604;&#1575;&#1602;/2014/Bulletin_Marriages_Divorces_DB_2013.xlsx" TargetMode="External"/><Relationship Id="rId30" Type="http://schemas.openxmlformats.org/officeDocument/2006/relationships/hyperlink" Target="file://qsa-app01.qsa.local/Population/&#1606;&#1588;&#1585;&#1575;&#1578;/&#1575;&#1604;&#1586;&#1608;&#1575;&#1580;%20&#1608;&#1575;&#1604;&#1591;&#1604;&#1575;&#1602;/2014/Bulletin_Marriages_Divorces_DB_2013.xlsx" TargetMode="External"/><Relationship Id="rId35" Type="http://schemas.openxmlformats.org/officeDocument/2006/relationships/hyperlink" Target="file://qsa-app01.qsa.local/Population/&#1606;&#1588;&#1585;&#1575;&#1578;/&#1575;&#1604;&#1586;&#1608;&#1575;&#1580;%20&#1608;&#1575;&#1604;&#1591;&#1604;&#1575;&#1602;/2014/Bulletin_Marriages_Divorces_DB_2013.xlsx" TargetMode="External"/><Relationship Id="rId43" Type="http://schemas.openxmlformats.org/officeDocument/2006/relationships/hyperlink" Target="file://qsa-app01.qsa.local/Population/&#1606;&#1588;&#1585;&#1575;&#1578;/&#1575;&#1604;&#1586;&#1608;&#1575;&#1580;%20&#1608;&#1575;&#1604;&#1591;&#1604;&#1575;&#1602;/2014/Bulletin_Marriages_Divorces_DB_2013.xlsx" TargetMode="External"/><Relationship Id="rId48" Type="http://schemas.openxmlformats.org/officeDocument/2006/relationships/hyperlink" Target="file://qsa-app01.qsa.local/Population/&#1606;&#1588;&#1585;&#1575;&#1578;/&#1575;&#1604;&#1586;&#1608;&#1575;&#1580;%20&#1608;&#1575;&#1604;&#1591;&#1604;&#1575;&#1602;/2014/Bulletin_Marriages_Divorces_DB_2013.xlsx" TargetMode="External"/><Relationship Id="rId56" Type="http://schemas.openxmlformats.org/officeDocument/2006/relationships/hyperlink" Target="file://qsa-app01.qsa.local/Population/&#1606;&#1588;&#1585;&#1575;&#1578;/&#1575;&#1604;&#1586;&#1608;&#1575;&#1580;%20&#1608;&#1575;&#1604;&#1591;&#1604;&#1575;&#1602;/2014/Bulletin_Marriages_Divorces_DB_2013.xlsx" TargetMode="External"/><Relationship Id="rId64" Type="http://schemas.openxmlformats.org/officeDocument/2006/relationships/hyperlink" Target="file://qsa-app01.qsa.local/Population/&#1606;&#1588;&#1585;&#1575;&#1578;/&#1575;&#1604;&#1586;&#1608;&#1575;&#1580;%20&#1608;&#1575;&#1604;&#1591;&#1604;&#1575;&#1602;/2014/Bulletin_Marriages_Divorces_DB_2013.xlsx" TargetMode="External"/><Relationship Id="rId69" Type="http://schemas.openxmlformats.org/officeDocument/2006/relationships/hyperlink" Target="file://qsa-app01.qsa.local/Population/&#1606;&#1588;&#1585;&#1575;&#1578;/&#1575;&#1604;&#1586;&#1608;&#1575;&#1580;%20&#1608;&#1575;&#1604;&#1591;&#1604;&#1575;&#1602;/2014/Bulletin_Marriages_Divorces_DB_2013.xlsx" TargetMode="External"/><Relationship Id="rId77" Type="http://schemas.openxmlformats.org/officeDocument/2006/relationships/hyperlink" Target="file://qsa-app01.qsa.local/Population/&#1606;&#1588;&#1585;&#1575;&#1578;/&#1575;&#1604;&#1586;&#1608;&#1575;&#1580;%20&#1608;&#1575;&#1604;&#1591;&#1604;&#1575;&#1602;/2014/Bulletin_Marriages_Divorces_DB_2013.xlsx" TargetMode="External"/><Relationship Id="rId8" Type="http://schemas.openxmlformats.org/officeDocument/2006/relationships/hyperlink" Target="file://qsa-app01.qsa.local/Population/&#1606;&#1588;&#1585;&#1575;&#1578;/&#1575;&#1604;&#1586;&#1608;&#1575;&#1580;%20&#1608;&#1575;&#1604;&#1591;&#1604;&#1575;&#1602;/2014/Bulletin_Marriages_Divorces_DB_2013.xlsx" TargetMode="External"/><Relationship Id="rId51" Type="http://schemas.openxmlformats.org/officeDocument/2006/relationships/hyperlink" Target="file://qsa-app01.qsa.local/Population/&#1606;&#1588;&#1585;&#1575;&#1578;/&#1575;&#1604;&#1586;&#1608;&#1575;&#1580;%20&#1608;&#1575;&#1604;&#1591;&#1604;&#1575;&#1602;/2014/Bulletin_Marriages_Divorces_DB_2013.xlsx" TargetMode="External"/><Relationship Id="rId72" Type="http://schemas.openxmlformats.org/officeDocument/2006/relationships/hyperlink" Target="file://qsa-app01.qsa.local/Population/&#1606;&#1588;&#1585;&#1575;&#1578;/&#1575;&#1604;&#1586;&#1608;&#1575;&#1580;%20&#1608;&#1575;&#1604;&#1591;&#1604;&#1575;&#1602;/2014/Bulletin_Marriages_Divorces_DB_2013.xlsx" TargetMode="External"/><Relationship Id="rId80" Type="http://schemas.openxmlformats.org/officeDocument/2006/relationships/hyperlink" Target="file://qsa-app01.qsa.local/Population/&#1606;&#1588;&#1585;&#1575;&#1578;/&#1575;&#1604;&#1586;&#1608;&#1575;&#1580;%20&#1608;&#1575;&#1604;&#1591;&#1604;&#1575;&#1602;/2014/Bulletin_Marriages_Divorces_DB_2013.xlsx" TargetMode="External"/><Relationship Id="rId85" Type="http://schemas.openxmlformats.org/officeDocument/2006/relationships/hyperlink" Target="file://qsa-app01.qsa.local/Population/&#1606;&#1588;&#1585;&#1575;&#1578;/&#1575;&#1604;&#1586;&#1608;&#1575;&#1580;%20&#1608;&#1575;&#1604;&#1591;&#1604;&#1575;&#1602;/2014/Bulletin_Marriages_Divorces_DB_2013.xlsx" TargetMode="External"/><Relationship Id="rId3" Type="http://schemas.openxmlformats.org/officeDocument/2006/relationships/hyperlink" Target="file://qsa-app01.qsa.local/Population/&#1606;&#1588;&#1585;&#1575;&#1578;/&#1575;&#1604;&#1586;&#1608;&#1575;&#1580;%20&#1608;&#1575;&#1604;&#1591;&#1604;&#1575;&#1602;/2014/Bulletin_Marriages_Divorces_DB_2013.xlsx" TargetMode="External"/><Relationship Id="rId12" Type="http://schemas.openxmlformats.org/officeDocument/2006/relationships/hyperlink" Target="file://qsa-app01.qsa.local/Population/&#1606;&#1588;&#1585;&#1575;&#1578;/&#1575;&#1604;&#1586;&#1608;&#1575;&#1580;%20&#1608;&#1575;&#1604;&#1591;&#1604;&#1575;&#1602;/2014/Bulletin_Marriages_Divorces_DB_2013.xlsx" TargetMode="External"/><Relationship Id="rId17" Type="http://schemas.openxmlformats.org/officeDocument/2006/relationships/hyperlink" Target="file://qsa-app01.qsa.local/Population/&#1606;&#1588;&#1585;&#1575;&#1578;/&#1575;&#1604;&#1586;&#1608;&#1575;&#1580;%20&#1608;&#1575;&#1604;&#1591;&#1604;&#1575;&#1602;/2014/Bulletin_Marriages_Divorces_DB_2013.xlsx" TargetMode="External"/><Relationship Id="rId25" Type="http://schemas.openxmlformats.org/officeDocument/2006/relationships/hyperlink" Target="file://qsa-app01.qsa.local/Population/&#1606;&#1588;&#1585;&#1575;&#1578;/&#1575;&#1604;&#1586;&#1608;&#1575;&#1580;%20&#1608;&#1575;&#1604;&#1591;&#1604;&#1575;&#1602;/2014/Bulletin_Marriages_Divorces_DB_2013.xlsx" TargetMode="External"/><Relationship Id="rId33" Type="http://schemas.openxmlformats.org/officeDocument/2006/relationships/hyperlink" Target="file://qsa-app01.qsa.local/Population/&#1606;&#1588;&#1585;&#1575;&#1578;/&#1575;&#1604;&#1586;&#1608;&#1575;&#1580;%20&#1608;&#1575;&#1604;&#1591;&#1604;&#1575;&#1602;/2014/Bulletin_Marriages_Divorces_DB_2013.xlsx" TargetMode="External"/><Relationship Id="rId38" Type="http://schemas.openxmlformats.org/officeDocument/2006/relationships/hyperlink" Target="file://qsa-app01.qsa.local/Population/&#1606;&#1588;&#1585;&#1575;&#1578;/&#1575;&#1604;&#1586;&#1608;&#1575;&#1580;%20&#1608;&#1575;&#1604;&#1591;&#1604;&#1575;&#1602;/2014/Bulletin_Marriages_Divorces_DB_2013.xlsx" TargetMode="External"/><Relationship Id="rId46" Type="http://schemas.openxmlformats.org/officeDocument/2006/relationships/hyperlink" Target="file://qsa-app01.qsa.local/Population/&#1606;&#1588;&#1585;&#1575;&#1578;/&#1575;&#1604;&#1586;&#1608;&#1575;&#1580;%20&#1608;&#1575;&#1604;&#1591;&#1604;&#1575;&#1602;/2014/Bulletin_Marriages_Divorces_DB_2013.xlsx" TargetMode="External"/><Relationship Id="rId59" Type="http://schemas.openxmlformats.org/officeDocument/2006/relationships/hyperlink" Target="file://qsa-app01.qsa.local/Population/&#1606;&#1588;&#1585;&#1575;&#1578;/&#1575;&#1604;&#1586;&#1608;&#1575;&#1580;%20&#1608;&#1575;&#1604;&#1591;&#1604;&#1575;&#1602;/2014/Bulletin_Marriages_Divorces_DB_2013.xlsx" TargetMode="External"/><Relationship Id="rId67" Type="http://schemas.openxmlformats.org/officeDocument/2006/relationships/hyperlink" Target="file://qsa-app01.qsa.local/Population/&#1606;&#1588;&#1585;&#1575;&#1578;/&#1575;&#1604;&#1586;&#1608;&#1575;&#1580;%20&#1608;&#1575;&#1604;&#1591;&#1604;&#1575;&#1602;/2014/Bulletin_Marriages_Divorces_DB_2013.xlsx" TargetMode="External"/><Relationship Id="rId20" Type="http://schemas.openxmlformats.org/officeDocument/2006/relationships/hyperlink" Target="file://qsa-app01.qsa.local/Population/&#1606;&#1588;&#1585;&#1575;&#1578;/&#1575;&#1604;&#1586;&#1608;&#1575;&#1580;%20&#1608;&#1575;&#1604;&#1591;&#1604;&#1575;&#1602;/2014/Bulletin_Marriages_Divorces_DB_2013.xlsx" TargetMode="External"/><Relationship Id="rId41" Type="http://schemas.openxmlformats.org/officeDocument/2006/relationships/hyperlink" Target="file://qsa-app01.qsa.local/Population/&#1606;&#1588;&#1585;&#1575;&#1578;/&#1575;&#1604;&#1586;&#1608;&#1575;&#1580;%20&#1608;&#1575;&#1604;&#1591;&#1604;&#1575;&#1602;/2014/Bulletin_Marriages_Divorces_DB_2013.xlsx" TargetMode="External"/><Relationship Id="rId54" Type="http://schemas.openxmlformats.org/officeDocument/2006/relationships/hyperlink" Target="file://qsa-app01.qsa.local/Population/&#1606;&#1588;&#1585;&#1575;&#1578;/&#1575;&#1604;&#1586;&#1608;&#1575;&#1580;%20&#1608;&#1575;&#1604;&#1591;&#1604;&#1575;&#1602;/2014/Bulletin_Marriages_Divorces_DB_2013.xlsx" TargetMode="External"/><Relationship Id="rId62" Type="http://schemas.openxmlformats.org/officeDocument/2006/relationships/hyperlink" Target="file://qsa-app01.qsa.local/Population/&#1606;&#1588;&#1585;&#1575;&#1578;/&#1575;&#1604;&#1586;&#1608;&#1575;&#1580;%20&#1608;&#1575;&#1604;&#1591;&#1604;&#1575;&#1602;/2014/Bulletin_Marriages_Divorces_DB_2013.xlsx" TargetMode="External"/><Relationship Id="rId70" Type="http://schemas.openxmlformats.org/officeDocument/2006/relationships/hyperlink" Target="file://qsa-app01.qsa.local/Population/&#1606;&#1588;&#1585;&#1575;&#1578;/&#1575;&#1604;&#1586;&#1608;&#1575;&#1580;%20&#1608;&#1575;&#1604;&#1591;&#1604;&#1575;&#1602;/2014/Bulletin_Marriages_Divorces_DB_2013.xlsx" TargetMode="External"/><Relationship Id="rId75" Type="http://schemas.openxmlformats.org/officeDocument/2006/relationships/hyperlink" Target="file://qsa-app01.qsa.local/Population/&#1606;&#1588;&#1585;&#1575;&#1578;/&#1575;&#1604;&#1586;&#1608;&#1575;&#1580;%20&#1608;&#1575;&#1604;&#1591;&#1604;&#1575;&#1602;/2014/Bulletin_Marriages_Divorces_DB_2013.xlsx" TargetMode="External"/><Relationship Id="rId83" Type="http://schemas.openxmlformats.org/officeDocument/2006/relationships/hyperlink" Target="file://qsa-app01.qsa.local/Population/&#1606;&#1588;&#1585;&#1575;&#1578;/&#1575;&#1604;&#1586;&#1608;&#1575;&#1580;%20&#1608;&#1575;&#1604;&#1591;&#1604;&#1575;&#1602;/2014/Bulletin_Marriages_Divorces_DB_2013.xlsx" TargetMode="External"/><Relationship Id="rId88" Type="http://schemas.openxmlformats.org/officeDocument/2006/relationships/hyperlink" Target="file://qsa-app01.qsa.local/Population/&#1606;&#1588;&#1585;&#1575;&#1578;/&#1575;&#1604;&#1586;&#1608;&#1575;&#1580;%20&#1608;&#1575;&#1604;&#1591;&#1604;&#1575;&#1602;/2014/Bulletin_Marriages_Divorces_DB_2013.xlsx" TargetMode="External"/><Relationship Id="rId91" Type="http://schemas.openxmlformats.org/officeDocument/2006/relationships/printerSettings" Target="../printerSettings/printerSettings3.bin"/><Relationship Id="rId1" Type="http://schemas.openxmlformats.org/officeDocument/2006/relationships/hyperlink" Target="file://qsa-app01.qsa.local/Population/&#1606;&#1588;&#1585;&#1575;&#1578;/&#1575;&#1604;&#1586;&#1608;&#1575;&#1580;%20&#1608;&#1575;&#1604;&#1591;&#1604;&#1575;&#1602;/2014/Bulletin_Marriages_Divorces_DB_2013.xlsx" TargetMode="External"/><Relationship Id="rId6" Type="http://schemas.openxmlformats.org/officeDocument/2006/relationships/hyperlink" Target="file://qsa-app01.qsa.local/Population/&#1606;&#1588;&#1585;&#1575;&#1578;/&#1575;&#1604;&#1586;&#1608;&#1575;&#1580;%20&#1608;&#1575;&#1604;&#1591;&#1604;&#1575;&#1602;/2014/Bulletin_Marriages_Divorces_DB_2013.xlsx" TargetMode="External"/><Relationship Id="rId15" Type="http://schemas.openxmlformats.org/officeDocument/2006/relationships/hyperlink" Target="file://qsa-app01.qsa.local/Population/&#1606;&#1588;&#1585;&#1575;&#1578;/&#1575;&#1604;&#1586;&#1608;&#1575;&#1580;%20&#1608;&#1575;&#1604;&#1591;&#1604;&#1575;&#1602;/2014/Bulletin_Marriages_Divorces_DB_2013.xlsx" TargetMode="External"/><Relationship Id="rId23" Type="http://schemas.openxmlformats.org/officeDocument/2006/relationships/hyperlink" Target="file://qsa-app01.qsa.local/Population/&#1606;&#1588;&#1585;&#1575;&#1578;/&#1575;&#1604;&#1586;&#1608;&#1575;&#1580;%20&#1608;&#1575;&#1604;&#1591;&#1604;&#1575;&#1602;/2014/Bulletin_Marriages_Divorces_DB_2013.xlsx" TargetMode="External"/><Relationship Id="rId28" Type="http://schemas.openxmlformats.org/officeDocument/2006/relationships/hyperlink" Target="file://qsa-app01.qsa.local/Population/&#1606;&#1588;&#1585;&#1575;&#1578;/&#1575;&#1604;&#1586;&#1608;&#1575;&#1580;%20&#1608;&#1575;&#1604;&#1591;&#1604;&#1575;&#1602;/2014/Bulletin_Marriages_Divorces_DB_2013.xlsx" TargetMode="External"/><Relationship Id="rId36" Type="http://schemas.openxmlformats.org/officeDocument/2006/relationships/hyperlink" Target="file://qsa-app01.qsa.local/Population/&#1606;&#1588;&#1585;&#1575;&#1578;/&#1575;&#1604;&#1586;&#1608;&#1575;&#1580;%20&#1608;&#1575;&#1604;&#1591;&#1604;&#1575;&#1602;/2014/Bulletin_Marriages_Divorces_DB_2013.xlsx" TargetMode="External"/><Relationship Id="rId49" Type="http://schemas.openxmlformats.org/officeDocument/2006/relationships/hyperlink" Target="file://qsa-app01.qsa.local/Population/&#1606;&#1588;&#1585;&#1575;&#1578;/&#1575;&#1604;&#1586;&#1608;&#1575;&#1580;%20&#1608;&#1575;&#1604;&#1591;&#1604;&#1575;&#1602;/2014/Bulletin_Marriages_Divorces_DB_2013.xlsx" TargetMode="External"/><Relationship Id="rId57" Type="http://schemas.openxmlformats.org/officeDocument/2006/relationships/hyperlink" Target="file://qsa-app01.qsa.local/Population/&#1606;&#1588;&#1585;&#1575;&#1578;/&#1575;&#1604;&#1586;&#1608;&#1575;&#1580;%20&#1608;&#1575;&#1604;&#1591;&#1604;&#1575;&#1602;/2014/Bulletin_Marriages_Divorces_DB_2013.xlsx" TargetMode="External"/><Relationship Id="rId10" Type="http://schemas.openxmlformats.org/officeDocument/2006/relationships/hyperlink" Target="file://qsa-app01.qsa.local/Population/&#1606;&#1588;&#1585;&#1575;&#1578;/&#1575;&#1604;&#1586;&#1608;&#1575;&#1580;%20&#1608;&#1575;&#1604;&#1591;&#1604;&#1575;&#1602;/2014/Bulletin_Marriages_Divorces_DB_2013.xlsx" TargetMode="External"/><Relationship Id="rId31" Type="http://schemas.openxmlformats.org/officeDocument/2006/relationships/hyperlink" Target="file://qsa-app01.qsa.local/Population/&#1606;&#1588;&#1585;&#1575;&#1578;/&#1575;&#1604;&#1586;&#1608;&#1575;&#1580;%20&#1608;&#1575;&#1604;&#1591;&#1604;&#1575;&#1602;/2014/Bulletin_Marriages_Divorces_DB_2013.xlsx" TargetMode="External"/><Relationship Id="rId44" Type="http://schemas.openxmlformats.org/officeDocument/2006/relationships/hyperlink" Target="file://qsa-app01.qsa.local/Population/&#1606;&#1588;&#1585;&#1575;&#1578;/&#1575;&#1604;&#1586;&#1608;&#1575;&#1580;%20&#1608;&#1575;&#1604;&#1591;&#1604;&#1575;&#1602;/2014/Bulletin_Marriages_Divorces_DB_2013.xlsx" TargetMode="External"/><Relationship Id="rId52" Type="http://schemas.openxmlformats.org/officeDocument/2006/relationships/hyperlink" Target="file://qsa-app01.qsa.local/Population/&#1606;&#1588;&#1585;&#1575;&#1578;/&#1575;&#1604;&#1586;&#1608;&#1575;&#1580;%20&#1608;&#1575;&#1604;&#1591;&#1604;&#1575;&#1602;/2014/Bulletin_Marriages_Divorces_DB_2013.xlsx" TargetMode="External"/><Relationship Id="rId60" Type="http://schemas.openxmlformats.org/officeDocument/2006/relationships/hyperlink" Target="file://qsa-app01.qsa.local/Population/&#1606;&#1588;&#1585;&#1575;&#1578;/&#1575;&#1604;&#1586;&#1608;&#1575;&#1580;%20&#1608;&#1575;&#1604;&#1591;&#1604;&#1575;&#1602;/2014/Bulletin_Marriages_Divorces_DB_2013.xlsx" TargetMode="External"/><Relationship Id="rId65" Type="http://schemas.openxmlformats.org/officeDocument/2006/relationships/hyperlink" Target="file://qsa-app01.qsa.local/Population/&#1606;&#1588;&#1585;&#1575;&#1578;/&#1575;&#1604;&#1586;&#1608;&#1575;&#1580;%20&#1608;&#1575;&#1604;&#1591;&#1604;&#1575;&#1602;/2014/Bulletin_Marriages_Divorces_DB_2013.xlsx" TargetMode="External"/><Relationship Id="rId73" Type="http://schemas.openxmlformats.org/officeDocument/2006/relationships/hyperlink" Target="file://qsa-app01.qsa.local/Population/&#1606;&#1588;&#1585;&#1575;&#1578;/&#1575;&#1604;&#1586;&#1608;&#1575;&#1580;%20&#1608;&#1575;&#1604;&#1591;&#1604;&#1575;&#1602;/2014/Bulletin_Marriages_Divorces_DB_2013.xlsx" TargetMode="External"/><Relationship Id="rId78" Type="http://schemas.openxmlformats.org/officeDocument/2006/relationships/hyperlink" Target="file://qsa-app01.qsa.local/Population/&#1606;&#1588;&#1585;&#1575;&#1578;/&#1575;&#1604;&#1586;&#1608;&#1575;&#1580;%20&#1608;&#1575;&#1604;&#1591;&#1604;&#1575;&#1602;/2014/Bulletin_Marriages_Divorces_DB_2013.xlsx" TargetMode="External"/><Relationship Id="rId81" Type="http://schemas.openxmlformats.org/officeDocument/2006/relationships/hyperlink" Target="file://qsa-app01.qsa.local/Population/&#1606;&#1588;&#1585;&#1575;&#1578;/&#1575;&#1604;&#1586;&#1608;&#1575;&#1580;%20&#1608;&#1575;&#1604;&#1591;&#1604;&#1575;&#1602;/2014/Bulletin_Marriages_Divorces_DB_2013.xlsx" TargetMode="External"/><Relationship Id="rId86" Type="http://schemas.openxmlformats.org/officeDocument/2006/relationships/hyperlink" Target="file://qsa-app01.qsa.local/Population/&#1606;&#1588;&#1585;&#1575;&#1578;/&#1575;&#1604;&#1586;&#1608;&#1575;&#1580;%20&#1608;&#1575;&#1604;&#1591;&#1604;&#1575;&#1602;/2014/Bulletin_Marriages_Divorces_DB_2013.xlsx" TargetMode="External"/><Relationship Id="rId4" Type="http://schemas.openxmlformats.org/officeDocument/2006/relationships/hyperlink" Target="file://qsa-app01.qsa.local/Population/&#1606;&#1588;&#1585;&#1575;&#1578;/&#1575;&#1604;&#1586;&#1608;&#1575;&#1580;%20&#1608;&#1575;&#1604;&#1591;&#1604;&#1575;&#1602;/2014/Bulletin_Marriages_Divorces_DB_2013.xlsx" TargetMode="External"/><Relationship Id="rId9" Type="http://schemas.openxmlformats.org/officeDocument/2006/relationships/hyperlink" Target="file://qsa-app01.qsa.local/Population/&#1606;&#1588;&#1585;&#1575;&#1578;/&#1575;&#1604;&#1586;&#1608;&#1575;&#1580;%20&#1608;&#1575;&#1604;&#1591;&#1604;&#1575;&#1602;/2014/Bulletin_Marriages_Divorces_DB_2013.xlsx" TargetMode="External"/><Relationship Id="rId13" Type="http://schemas.openxmlformats.org/officeDocument/2006/relationships/hyperlink" Target="file://qsa-app01.qsa.local/Population/&#1606;&#1588;&#1585;&#1575;&#1578;/&#1575;&#1604;&#1586;&#1608;&#1575;&#1580;%20&#1608;&#1575;&#1604;&#1591;&#1604;&#1575;&#1602;/2014/Bulletin_Marriages_Divorces_DB_2013.xlsx" TargetMode="External"/><Relationship Id="rId18" Type="http://schemas.openxmlformats.org/officeDocument/2006/relationships/hyperlink" Target="file://qsa-app01.qsa.local/Population/&#1606;&#1588;&#1585;&#1575;&#1578;/&#1575;&#1604;&#1586;&#1608;&#1575;&#1580;%20&#1608;&#1575;&#1604;&#1591;&#1604;&#1575;&#1602;/2014/Bulletin_Marriages_Divorces_DB_2013.xlsx" TargetMode="External"/><Relationship Id="rId39" Type="http://schemas.openxmlformats.org/officeDocument/2006/relationships/hyperlink" Target="file://qsa-app01.qsa.local/Population/&#1606;&#1588;&#1585;&#1575;&#1578;/&#1575;&#1604;&#1586;&#1608;&#1575;&#1580;%20&#1608;&#1575;&#1604;&#1591;&#1604;&#1575;&#1602;/2014/Bulletin_Marriages_Divorces_DB_2013.xlsx" TargetMode="External"/><Relationship Id="rId34" Type="http://schemas.openxmlformats.org/officeDocument/2006/relationships/hyperlink" Target="file://qsa-app01.qsa.local/Population/&#1606;&#1588;&#1585;&#1575;&#1578;/&#1575;&#1604;&#1586;&#1608;&#1575;&#1580;%20&#1608;&#1575;&#1604;&#1591;&#1604;&#1575;&#1602;/2014/Bulletin_Marriages_Divorces_DB_2013.xlsx" TargetMode="External"/><Relationship Id="rId50" Type="http://schemas.openxmlformats.org/officeDocument/2006/relationships/hyperlink" Target="file://qsa-app01.qsa.local/Population/&#1606;&#1588;&#1585;&#1575;&#1578;/&#1575;&#1604;&#1586;&#1608;&#1575;&#1580;%20&#1608;&#1575;&#1604;&#1591;&#1604;&#1575;&#1602;/2014/Bulletin_Marriages_Divorces_DB_2013.xlsx" TargetMode="External"/><Relationship Id="rId55" Type="http://schemas.openxmlformats.org/officeDocument/2006/relationships/hyperlink" Target="file://qsa-app01.qsa.local/Population/&#1606;&#1588;&#1585;&#1575;&#1578;/&#1575;&#1604;&#1586;&#1608;&#1575;&#1580;%20&#1608;&#1575;&#1604;&#1591;&#1604;&#1575;&#1602;/2014/Bulletin_Marriages_Divorces_DB_2013.xlsx" TargetMode="External"/><Relationship Id="rId76" Type="http://schemas.openxmlformats.org/officeDocument/2006/relationships/hyperlink" Target="file://qsa-app01.qsa.local/Population/&#1606;&#1588;&#1585;&#1575;&#1578;/&#1575;&#1604;&#1586;&#1608;&#1575;&#1580;%20&#1608;&#1575;&#1604;&#1591;&#1604;&#1575;&#1602;/2014/Bulletin_Marriages_Divorces_DB_2013.xlsx" TargetMode="External"/><Relationship Id="rId7" Type="http://schemas.openxmlformats.org/officeDocument/2006/relationships/hyperlink" Target="file://qsa-app01.qsa.local/Population/&#1606;&#1588;&#1585;&#1575;&#1578;/&#1575;&#1604;&#1586;&#1608;&#1575;&#1580;%20&#1608;&#1575;&#1604;&#1591;&#1604;&#1575;&#1602;/2014/Bulletin_Marriages_Divorces_DB_2013.xlsx" TargetMode="External"/><Relationship Id="rId71" Type="http://schemas.openxmlformats.org/officeDocument/2006/relationships/hyperlink" Target="file://qsa-app01.qsa.local/Population/&#1606;&#1588;&#1585;&#1575;&#1578;/&#1575;&#1604;&#1586;&#1608;&#1575;&#1580;%20&#1608;&#1575;&#1604;&#1591;&#1604;&#1575;&#1602;/2014/Bulletin_Marriages_Divorces_DB_2013.xlsx" TargetMode="External"/><Relationship Id="rId2" Type="http://schemas.openxmlformats.org/officeDocument/2006/relationships/hyperlink" Target="file://qsa-app01.qsa.local/Population/&#1606;&#1588;&#1585;&#1575;&#1578;/&#1575;&#1604;&#1586;&#1608;&#1575;&#1580;%20&#1608;&#1575;&#1604;&#1591;&#1604;&#1575;&#1602;/2014/Bulletin_Marriages_Divorces_DB_2013.xlsx" TargetMode="External"/><Relationship Id="rId29" Type="http://schemas.openxmlformats.org/officeDocument/2006/relationships/hyperlink" Target="file://qsa-app01.qsa.local/Population/&#1606;&#1588;&#1585;&#1575;&#1578;/&#1575;&#1604;&#1586;&#1608;&#1575;&#1580;%20&#1608;&#1575;&#1604;&#1591;&#1604;&#1575;&#1602;/2014/Bulletin_Marriages_Divorces_DB_2013.xlsx" TargetMode="External"/><Relationship Id="rId24" Type="http://schemas.openxmlformats.org/officeDocument/2006/relationships/hyperlink" Target="file://qsa-app01.qsa.local/Population/&#1606;&#1588;&#1585;&#1575;&#1578;/&#1575;&#1604;&#1586;&#1608;&#1575;&#1580;%20&#1608;&#1575;&#1604;&#1591;&#1604;&#1575;&#1602;/2014/Bulletin_Marriages_Divorces_DB_2013.xlsx" TargetMode="External"/><Relationship Id="rId40" Type="http://schemas.openxmlformats.org/officeDocument/2006/relationships/hyperlink" Target="file://qsa-app01.qsa.local/Population/&#1606;&#1588;&#1585;&#1575;&#1578;/&#1575;&#1604;&#1586;&#1608;&#1575;&#1580;%20&#1608;&#1575;&#1604;&#1591;&#1604;&#1575;&#1602;/2014/Bulletin_Marriages_Divorces_DB_2013.xlsx" TargetMode="External"/><Relationship Id="rId45" Type="http://schemas.openxmlformats.org/officeDocument/2006/relationships/hyperlink" Target="file://qsa-app01.qsa.local/Population/&#1606;&#1588;&#1585;&#1575;&#1578;/&#1575;&#1604;&#1586;&#1608;&#1575;&#1580;%20&#1608;&#1575;&#1604;&#1591;&#1604;&#1575;&#1602;/2014/Bulletin_Marriages_Divorces_DB_2013.xlsx" TargetMode="External"/><Relationship Id="rId66" Type="http://schemas.openxmlformats.org/officeDocument/2006/relationships/hyperlink" Target="file://qsa-app01.qsa.local/Population/&#1606;&#1588;&#1585;&#1575;&#1578;/&#1575;&#1604;&#1586;&#1608;&#1575;&#1580;%20&#1608;&#1575;&#1604;&#1591;&#1604;&#1575;&#1602;/2014/Bulletin_Marriages_Divorces_DB_2013.xlsx" TargetMode="External"/><Relationship Id="rId87" Type="http://schemas.openxmlformats.org/officeDocument/2006/relationships/hyperlink" Target="file://qsa-app01.qsa.local/Population/&#1606;&#1588;&#1585;&#1575;&#1578;/&#1575;&#1604;&#1586;&#1608;&#1575;&#1580;%20&#1608;&#1575;&#1604;&#1591;&#1604;&#1575;&#1602;/2014/Bulletin_Marriages_Divorces_DB_2013.xlsx" TargetMode="External"/><Relationship Id="rId61" Type="http://schemas.openxmlformats.org/officeDocument/2006/relationships/hyperlink" Target="file://qsa-app01.qsa.local/Population/&#1606;&#1588;&#1585;&#1575;&#1578;/&#1575;&#1604;&#1586;&#1608;&#1575;&#1580;%20&#1608;&#1575;&#1604;&#1591;&#1604;&#1575;&#1602;/2014/Bulletin_Marriages_Divorces_DB_2013.xlsx" TargetMode="External"/><Relationship Id="rId82" Type="http://schemas.openxmlformats.org/officeDocument/2006/relationships/hyperlink" Target="file://qsa-app01.qsa.local/Population/&#1606;&#1588;&#1585;&#1575;&#1578;/&#1575;&#1604;&#1586;&#1608;&#1575;&#1580;%20&#1608;&#1575;&#1604;&#1591;&#1604;&#1575;&#1602;/2014/Bulletin_Marriages_Divorces_DB_2013.xlsx" TargetMode="External"/><Relationship Id="rId19" Type="http://schemas.openxmlformats.org/officeDocument/2006/relationships/hyperlink" Target="file://qsa-app01.qsa.local/Population/&#1606;&#1588;&#1585;&#1575;&#1578;/&#1575;&#1604;&#1586;&#1608;&#1575;&#1580;%20&#1608;&#1575;&#1604;&#1591;&#1604;&#1575;&#1602;/2014/Bulletin_Marriages_Divorces_DB_2013.xlsx" TargetMode="External"/></Relationships>
</file>

<file path=xl/worksheets/_rels/sheet3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3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hyperlink" Target="file://qsa-app01.qsa.local/Population/&#1606;&#1588;&#1585;&#1575;&#1578;/&#1575;&#1604;&#1586;&#1608;&#1575;&#1580;%20&#1608;&#1575;&#1604;&#1591;&#1604;&#1575;&#1602;/2014/Bulletin_Marriages_Divorces_DB_2013.xlsx" TargetMode="External"/><Relationship Id="rId13" Type="http://schemas.openxmlformats.org/officeDocument/2006/relationships/hyperlink" Target="file://qsa-app01.qsa.local/Population/&#1606;&#1588;&#1585;&#1575;&#1578;/&#1575;&#1604;&#1586;&#1608;&#1575;&#1580;%20&#1608;&#1575;&#1604;&#1591;&#1604;&#1575;&#1602;/2014/Bulletin_Marriages_Divorces_DB_2013.xlsx" TargetMode="External"/><Relationship Id="rId18" Type="http://schemas.openxmlformats.org/officeDocument/2006/relationships/hyperlink" Target="file://qsa-app01.qsa.local/Population/&#1606;&#1588;&#1585;&#1575;&#1578;/&#1575;&#1604;&#1586;&#1608;&#1575;&#1580;%20&#1608;&#1575;&#1604;&#1591;&#1604;&#1575;&#1602;/2014/Bulletin_Marriages_Divorces_DB_2013.xlsx" TargetMode="External"/><Relationship Id="rId3" Type="http://schemas.openxmlformats.org/officeDocument/2006/relationships/hyperlink" Target="file://qsa-app01.qsa.local/Population/&#1606;&#1588;&#1585;&#1575;&#1578;/&#1575;&#1604;&#1586;&#1608;&#1575;&#1580;%20&#1608;&#1575;&#1604;&#1591;&#1604;&#1575;&#1602;/2014/Bulletin_Marriages_Divorces_DB_2013.xlsx" TargetMode="External"/><Relationship Id="rId21" Type="http://schemas.openxmlformats.org/officeDocument/2006/relationships/hyperlink" Target="file://qsa-app01.qsa.local/Population/&#1606;&#1588;&#1585;&#1575;&#1578;/&#1575;&#1604;&#1586;&#1608;&#1575;&#1580;%20&#1608;&#1575;&#1604;&#1591;&#1604;&#1575;&#1602;/2014/Bulletin_Marriages_Divorces_DB_2013.xlsx" TargetMode="External"/><Relationship Id="rId7" Type="http://schemas.openxmlformats.org/officeDocument/2006/relationships/hyperlink" Target="file://qsa-app01.qsa.local/Population/&#1606;&#1588;&#1585;&#1575;&#1578;/&#1575;&#1604;&#1586;&#1608;&#1575;&#1580;%20&#1608;&#1575;&#1604;&#1591;&#1604;&#1575;&#1602;/2014/Bulletin_Marriages_Divorces_DB_2013.xlsx" TargetMode="External"/><Relationship Id="rId12" Type="http://schemas.openxmlformats.org/officeDocument/2006/relationships/hyperlink" Target="file://qsa-app01.qsa.local/Population/&#1606;&#1588;&#1585;&#1575;&#1578;/&#1575;&#1604;&#1586;&#1608;&#1575;&#1580;%20&#1608;&#1575;&#1604;&#1591;&#1604;&#1575;&#1602;/2014/Bulletin_Marriages_Divorces_DB_2013.xlsx" TargetMode="External"/><Relationship Id="rId17" Type="http://schemas.openxmlformats.org/officeDocument/2006/relationships/hyperlink" Target="file://qsa-app01.qsa.local/Population/&#1606;&#1588;&#1585;&#1575;&#1578;/&#1575;&#1604;&#1586;&#1608;&#1575;&#1580;%20&#1608;&#1575;&#1604;&#1591;&#1604;&#1575;&#1602;/2014/Bulletin_Marriages_Divorces_DB_2013.xlsx" TargetMode="External"/><Relationship Id="rId25" Type="http://schemas.openxmlformats.org/officeDocument/2006/relationships/printerSettings" Target="../printerSettings/printerSettings4.bin"/><Relationship Id="rId2" Type="http://schemas.openxmlformats.org/officeDocument/2006/relationships/hyperlink" Target="file://qsa-app01.qsa.local/Population/&#1606;&#1588;&#1585;&#1575;&#1578;/&#1575;&#1604;&#1586;&#1608;&#1575;&#1580;%20&#1608;&#1575;&#1604;&#1591;&#1604;&#1575;&#1602;/2014/Bulletin_Marriages_Divorces_DB_2013.xlsx" TargetMode="External"/><Relationship Id="rId16" Type="http://schemas.openxmlformats.org/officeDocument/2006/relationships/hyperlink" Target="file://qsa-app01.qsa.local/Population/&#1606;&#1588;&#1585;&#1575;&#1578;/&#1575;&#1604;&#1586;&#1608;&#1575;&#1580;%20&#1608;&#1575;&#1604;&#1591;&#1604;&#1575;&#1602;/2014/Bulletin_Marriages_Divorces_DB_2013.xlsx" TargetMode="External"/><Relationship Id="rId20" Type="http://schemas.openxmlformats.org/officeDocument/2006/relationships/hyperlink" Target="file://qsa-app01.qsa.local/Population/&#1606;&#1588;&#1585;&#1575;&#1578;/&#1575;&#1604;&#1586;&#1608;&#1575;&#1580;%20&#1608;&#1575;&#1604;&#1591;&#1604;&#1575;&#1602;/2014/Bulletin_Marriages_Divorces_DB_2013.xlsx" TargetMode="External"/><Relationship Id="rId1" Type="http://schemas.openxmlformats.org/officeDocument/2006/relationships/hyperlink" Target="file://qsa-app01.qsa.local/Population/&#1606;&#1588;&#1585;&#1575;&#1578;/&#1575;&#1604;&#1586;&#1608;&#1575;&#1580;%20&#1608;&#1575;&#1604;&#1591;&#1604;&#1575;&#1602;/2014/Bulletin_Marriages_Divorces_DB_2013.xlsx" TargetMode="External"/><Relationship Id="rId6" Type="http://schemas.openxmlformats.org/officeDocument/2006/relationships/hyperlink" Target="file://qsa-app01.qsa.local/Population/&#1606;&#1588;&#1585;&#1575;&#1578;/&#1575;&#1604;&#1586;&#1608;&#1575;&#1580;%20&#1608;&#1575;&#1604;&#1591;&#1604;&#1575;&#1602;/2014/Bulletin_Marriages_Divorces_DB_2013.xlsx" TargetMode="External"/><Relationship Id="rId11" Type="http://schemas.openxmlformats.org/officeDocument/2006/relationships/hyperlink" Target="file://qsa-app01.qsa.local/Population/&#1606;&#1588;&#1585;&#1575;&#1578;/&#1575;&#1604;&#1586;&#1608;&#1575;&#1580;%20&#1608;&#1575;&#1604;&#1591;&#1604;&#1575;&#1602;/2014/Bulletin_Marriages_Divorces_DB_2013.xlsx" TargetMode="External"/><Relationship Id="rId24" Type="http://schemas.openxmlformats.org/officeDocument/2006/relationships/hyperlink" Target="file://qsa-app01.qsa.local/Population/&#1606;&#1588;&#1585;&#1575;&#1578;/&#1575;&#1604;&#1586;&#1608;&#1575;&#1580;%20&#1608;&#1575;&#1604;&#1591;&#1604;&#1575;&#1602;/2014/Bulletin_Marriages_Divorces_DB_2013.xlsx" TargetMode="External"/><Relationship Id="rId5" Type="http://schemas.openxmlformats.org/officeDocument/2006/relationships/hyperlink" Target="file://qsa-app01.qsa.local/Population/&#1606;&#1588;&#1585;&#1575;&#1578;/&#1575;&#1604;&#1586;&#1608;&#1575;&#1580;%20&#1608;&#1575;&#1604;&#1591;&#1604;&#1575;&#1602;/2014/Bulletin_Marriages_Divorces_DB_2013.xlsx" TargetMode="External"/><Relationship Id="rId15" Type="http://schemas.openxmlformats.org/officeDocument/2006/relationships/hyperlink" Target="file://qsa-app01.qsa.local/Population/&#1606;&#1588;&#1585;&#1575;&#1578;/&#1575;&#1604;&#1586;&#1608;&#1575;&#1580;%20&#1608;&#1575;&#1604;&#1591;&#1604;&#1575;&#1602;/2014/Bulletin_Marriages_Divorces_DB_2013.xlsx" TargetMode="External"/><Relationship Id="rId23" Type="http://schemas.openxmlformats.org/officeDocument/2006/relationships/hyperlink" Target="file://qsa-app01.qsa.local/Population/&#1606;&#1588;&#1585;&#1575;&#1578;/&#1575;&#1604;&#1586;&#1608;&#1575;&#1580;%20&#1608;&#1575;&#1604;&#1591;&#1604;&#1575;&#1602;/2014/Bulletin_Marriages_Divorces_DB_2013.xlsx" TargetMode="External"/><Relationship Id="rId10" Type="http://schemas.openxmlformats.org/officeDocument/2006/relationships/hyperlink" Target="file://qsa-app01.qsa.local/Population/&#1606;&#1588;&#1585;&#1575;&#1578;/&#1575;&#1604;&#1586;&#1608;&#1575;&#1580;%20&#1608;&#1575;&#1604;&#1591;&#1604;&#1575;&#1602;/2014/Bulletin_Marriages_Divorces_DB_2013.xlsx" TargetMode="External"/><Relationship Id="rId19" Type="http://schemas.openxmlformats.org/officeDocument/2006/relationships/hyperlink" Target="file://qsa-app01.qsa.local/Population/&#1606;&#1588;&#1585;&#1575;&#1578;/&#1575;&#1604;&#1586;&#1608;&#1575;&#1580;%20&#1608;&#1575;&#1604;&#1591;&#1604;&#1575;&#1602;/2014/Bulletin_Marriages_Divorces_DB_2013.xlsx" TargetMode="External"/><Relationship Id="rId4" Type="http://schemas.openxmlformats.org/officeDocument/2006/relationships/hyperlink" Target="file://qsa-app01.qsa.local/Population/&#1606;&#1588;&#1585;&#1575;&#1578;/&#1575;&#1604;&#1586;&#1608;&#1575;&#1580;%20&#1608;&#1575;&#1604;&#1591;&#1604;&#1575;&#1602;/2014/Bulletin_Marriages_Divorces_DB_2013.xlsx" TargetMode="External"/><Relationship Id="rId9" Type="http://schemas.openxmlformats.org/officeDocument/2006/relationships/hyperlink" Target="file://qsa-app01.qsa.local/Population/&#1606;&#1588;&#1585;&#1575;&#1578;/&#1575;&#1604;&#1586;&#1608;&#1575;&#1580;%20&#1608;&#1575;&#1604;&#1591;&#1604;&#1575;&#1602;/2014/Bulletin_Marriages_Divorces_DB_2013.xlsx" TargetMode="External"/><Relationship Id="rId14" Type="http://schemas.openxmlformats.org/officeDocument/2006/relationships/hyperlink" Target="file://qsa-app01.qsa.local/Population/&#1606;&#1588;&#1585;&#1575;&#1578;/&#1575;&#1604;&#1586;&#1608;&#1575;&#1580;%20&#1608;&#1575;&#1604;&#1591;&#1604;&#1575;&#1602;/2014/Bulletin_Marriages_Divorces_DB_2013.xlsx" TargetMode="External"/><Relationship Id="rId22" Type="http://schemas.openxmlformats.org/officeDocument/2006/relationships/hyperlink" Target="file://qsa-app01.qsa.local/Population/&#1606;&#1588;&#1585;&#1575;&#1578;/&#1575;&#1604;&#1586;&#1608;&#1575;&#1580;%20&#1608;&#1575;&#1604;&#1591;&#1604;&#1575;&#1602;/2014/Bulletin_Marriages_Divorces_DB_2013.xlsx" TargetMode="External"/></Relationships>
</file>

<file path=xl/worksheets/_rels/sheet40.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3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3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3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3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3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4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4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4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4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4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4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4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5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5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5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5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6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6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6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6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6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6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6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6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6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7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7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7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7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7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7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7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7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7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7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8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59.xml"/><Relationship Id="rId2" Type="http://schemas.openxmlformats.org/officeDocument/2006/relationships/drawing" Target="../drawings/drawing8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60.xml"/><Relationship Id="rId2" Type="http://schemas.openxmlformats.org/officeDocument/2006/relationships/drawing" Target="../drawings/drawing8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drawing" Target="../drawings/drawing8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62.xml"/><Relationship Id="rId2" Type="http://schemas.openxmlformats.org/officeDocument/2006/relationships/drawing" Target="../drawings/drawing84.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63.xml"/><Relationship Id="rId2" Type="http://schemas.openxmlformats.org/officeDocument/2006/relationships/drawing" Target="../drawings/drawing8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64.xml"/><Relationship Id="rId2" Type="http://schemas.openxmlformats.org/officeDocument/2006/relationships/drawing" Target="../drawings/drawing8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65.xml"/><Relationship Id="rId2" Type="http://schemas.openxmlformats.org/officeDocument/2006/relationships/drawing" Target="../drawings/drawing88.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66.xml"/><Relationship Id="rId2" Type="http://schemas.openxmlformats.org/officeDocument/2006/relationships/drawing" Target="../drawings/drawing8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67.xml"/><Relationship Id="rId2" Type="http://schemas.openxmlformats.org/officeDocument/2006/relationships/drawing" Target="../drawings/drawing90.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68.xml"/><Relationship Id="rId2" Type="http://schemas.openxmlformats.org/officeDocument/2006/relationships/drawing" Target="../drawings/drawing9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69.xml"/><Relationship Id="rId2" Type="http://schemas.openxmlformats.org/officeDocument/2006/relationships/drawing" Target="../drawings/drawing9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rightToLeft="1" workbookViewId="0">
      <selection activeCell="B2" sqref="B2"/>
    </sheetView>
  </sheetViews>
  <sheetFormatPr defaultRowHeight="15"/>
  <cols>
    <col min="1" max="1" width="21.5703125" customWidth="1"/>
  </cols>
  <sheetData>
    <row r="1" spans="1:2">
      <c r="A1" s="174" t="s">
        <v>744</v>
      </c>
      <c r="B1">
        <v>2015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rightToLeft="1" view="pageBreakPreview" zoomScaleNormal="100" zoomScaleSheetLayoutView="100" workbookViewId="0">
      <selection activeCell="G15" sqref="G15"/>
    </sheetView>
  </sheetViews>
  <sheetFormatPr defaultColWidth="9.140625" defaultRowHeight="12.75"/>
  <cols>
    <col min="1" max="1" width="16.85546875" style="1" customWidth="1"/>
    <col min="2" max="2" width="8.42578125" style="1" customWidth="1"/>
    <col min="3" max="3" width="8.42578125" style="73" customWidth="1"/>
    <col min="4" max="4" width="8.42578125" style="1" customWidth="1"/>
    <col min="5" max="5" width="8.42578125" style="73" customWidth="1"/>
    <col min="6" max="6" width="8.42578125" style="1" customWidth="1"/>
    <col min="7" max="7" width="8.42578125" style="73" customWidth="1"/>
    <col min="8" max="8" width="8.42578125" style="1" customWidth="1"/>
    <col min="9" max="9" width="8.42578125" style="73" customWidth="1"/>
    <col min="10" max="10" width="8.42578125" style="1" customWidth="1"/>
    <col min="11" max="11" width="8.42578125" style="73" customWidth="1"/>
    <col min="12" max="12" width="8.42578125" style="1" customWidth="1"/>
    <col min="13" max="13" width="8.42578125" style="73" customWidth="1"/>
    <col min="14" max="14" width="14" style="1" customWidth="1"/>
    <col min="15" max="16384" width="9.140625" style="1"/>
  </cols>
  <sheetData>
    <row r="1" spans="1:14" ht="23.25" customHeight="1">
      <c r="A1" s="934" t="s">
        <v>992</v>
      </c>
      <c r="B1" s="934"/>
      <c r="C1" s="934"/>
      <c r="D1" s="934"/>
      <c r="E1" s="934"/>
      <c r="F1" s="934"/>
      <c r="G1" s="934"/>
      <c r="H1" s="934"/>
      <c r="I1" s="934"/>
      <c r="J1" s="934"/>
      <c r="K1" s="934"/>
      <c r="L1" s="934"/>
      <c r="M1" s="934"/>
      <c r="N1" s="934"/>
    </row>
    <row r="2" spans="1:14" s="87" customFormat="1" ht="15.75">
      <c r="A2" s="940" t="s">
        <v>996</v>
      </c>
      <c r="B2" s="940"/>
      <c r="C2" s="940"/>
      <c r="D2" s="940"/>
      <c r="E2" s="940"/>
      <c r="F2" s="940"/>
      <c r="G2" s="940"/>
      <c r="H2" s="940"/>
      <c r="I2" s="940"/>
      <c r="J2" s="940"/>
      <c r="K2" s="940"/>
      <c r="L2" s="940"/>
      <c r="M2" s="940"/>
      <c r="N2" s="940"/>
    </row>
    <row r="3" spans="1:14" s="87" customFormat="1" ht="15.75">
      <c r="A3" s="941" t="s">
        <v>1047</v>
      </c>
      <c r="B3" s="941"/>
      <c r="C3" s="941"/>
      <c r="D3" s="941"/>
      <c r="E3" s="941"/>
      <c r="F3" s="941"/>
      <c r="G3" s="941"/>
      <c r="H3" s="941"/>
      <c r="I3" s="941"/>
      <c r="J3" s="941"/>
      <c r="K3" s="941"/>
      <c r="L3" s="941"/>
      <c r="M3" s="941"/>
      <c r="N3" s="941"/>
    </row>
    <row r="4" spans="1:14" s="87" customFormat="1" ht="15.75">
      <c r="A4" s="630"/>
      <c r="B4" s="630"/>
      <c r="C4" s="630"/>
      <c r="D4" s="630"/>
      <c r="E4" s="630"/>
      <c r="F4" s="630"/>
      <c r="G4" s="630"/>
      <c r="H4" s="630"/>
      <c r="I4" s="630"/>
      <c r="J4" s="630"/>
      <c r="K4" s="630"/>
      <c r="L4" s="630"/>
      <c r="M4" s="630"/>
      <c r="N4" s="630"/>
    </row>
    <row r="5" spans="1:14" ht="21.75" customHeight="1">
      <c r="A5" s="631" t="s">
        <v>148</v>
      </c>
      <c r="B5" s="632"/>
      <c r="C5" s="633"/>
      <c r="D5" s="632"/>
      <c r="E5" s="633"/>
      <c r="F5" s="632"/>
      <c r="G5" s="633"/>
      <c r="H5" s="632"/>
      <c r="I5" s="633"/>
      <c r="J5" s="632"/>
      <c r="K5" s="632"/>
      <c r="L5" s="632"/>
      <c r="M5" s="632"/>
      <c r="N5" s="634" t="s">
        <v>615</v>
      </c>
    </row>
    <row r="6" spans="1:14" ht="38.25" customHeight="1" thickBot="1">
      <c r="A6" s="937" t="s">
        <v>147</v>
      </c>
      <c r="B6" s="936" t="s">
        <v>146</v>
      </c>
      <c r="C6" s="936"/>
      <c r="D6" s="936"/>
      <c r="E6" s="936"/>
      <c r="F6" s="936"/>
      <c r="G6" s="936"/>
      <c r="H6" s="936" t="s">
        <v>145</v>
      </c>
      <c r="I6" s="936"/>
      <c r="J6" s="936"/>
      <c r="K6" s="936"/>
      <c r="L6" s="936"/>
      <c r="M6" s="936"/>
      <c r="N6" s="942" t="s">
        <v>144</v>
      </c>
    </row>
    <row r="7" spans="1:14" ht="29.25" customHeight="1" thickBot="1">
      <c r="A7" s="938"/>
      <c r="B7" s="935" t="s">
        <v>143</v>
      </c>
      <c r="C7" s="935"/>
      <c r="D7" s="935" t="s">
        <v>142</v>
      </c>
      <c r="E7" s="935"/>
      <c r="F7" s="935" t="s">
        <v>141</v>
      </c>
      <c r="G7" s="935"/>
      <c r="H7" s="935" t="s">
        <v>143</v>
      </c>
      <c r="I7" s="935"/>
      <c r="J7" s="935" t="s">
        <v>142</v>
      </c>
      <c r="K7" s="935"/>
      <c r="L7" s="935" t="s">
        <v>141</v>
      </c>
      <c r="M7" s="935"/>
      <c r="N7" s="943"/>
    </row>
    <row r="8" spans="1:14" ht="27">
      <c r="A8" s="939"/>
      <c r="B8" s="86" t="s">
        <v>140</v>
      </c>
      <c r="C8" s="227" t="s">
        <v>139</v>
      </c>
      <c r="D8" s="86" t="s">
        <v>140</v>
      </c>
      <c r="E8" s="227" t="s">
        <v>139</v>
      </c>
      <c r="F8" s="86" t="s">
        <v>140</v>
      </c>
      <c r="G8" s="227" t="s">
        <v>139</v>
      </c>
      <c r="H8" s="86" t="s">
        <v>140</v>
      </c>
      <c r="I8" s="227" t="s">
        <v>139</v>
      </c>
      <c r="J8" s="86" t="s">
        <v>140</v>
      </c>
      <c r="K8" s="227" t="s">
        <v>139</v>
      </c>
      <c r="L8" s="86" t="s">
        <v>140</v>
      </c>
      <c r="M8" s="227" t="s">
        <v>139</v>
      </c>
      <c r="N8" s="944"/>
    </row>
    <row r="9" spans="1:14" s="175" customFormat="1" hidden="1">
      <c r="A9" s="230">
        <v>2011</v>
      </c>
      <c r="B9" s="181">
        <v>1898</v>
      </c>
      <c r="C9" s="231">
        <v>57.6</v>
      </c>
      <c r="D9" s="181">
        <v>1395</v>
      </c>
      <c r="E9" s="231">
        <v>42.4</v>
      </c>
      <c r="F9" s="181">
        <v>3293</v>
      </c>
      <c r="G9" s="231">
        <v>100</v>
      </c>
      <c r="H9" s="181">
        <v>754</v>
      </c>
      <c r="I9" s="231">
        <v>68.099999999999994</v>
      </c>
      <c r="J9" s="181">
        <v>354</v>
      </c>
      <c r="K9" s="231">
        <v>31.900000000000002</v>
      </c>
      <c r="L9" s="232">
        <v>1108</v>
      </c>
      <c r="M9" s="233">
        <v>100</v>
      </c>
      <c r="N9" s="230">
        <v>2011</v>
      </c>
    </row>
    <row r="10" spans="1:14" ht="24.95" customHeight="1" thickBot="1">
      <c r="A10" s="234">
        <v>2006</v>
      </c>
      <c r="B10" s="235">
        <v>2023</v>
      </c>
      <c r="C10" s="236">
        <v>67</v>
      </c>
      <c r="D10" s="235">
        <v>996</v>
      </c>
      <c r="E10" s="236">
        <v>33</v>
      </c>
      <c r="F10" s="237">
        <v>3019</v>
      </c>
      <c r="G10" s="238">
        <v>100</v>
      </c>
      <c r="H10" s="235">
        <v>604</v>
      </c>
      <c r="I10" s="236">
        <v>73.099999999999994</v>
      </c>
      <c r="J10" s="235">
        <v>222</v>
      </c>
      <c r="K10" s="236">
        <v>26.9</v>
      </c>
      <c r="L10" s="237">
        <v>826</v>
      </c>
      <c r="M10" s="238">
        <v>100</v>
      </c>
      <c r="N10" s="239">
        <v>2006</v>
      </c>
    </row>
    <row r="11" spans="1:14" ht="24.95" customHeight="1" thickBot="1">
      <c r="A11" s="240">
        <v>2007</v>
      </c>
      <c r="B11" s="241">
        <v>2013</v>
      </c>
      <c r="C11" s="242">
        <v>62.8</v>
      </c>
      <c r="D11" s="241">
        <v>1193</v>
      </c>
      <c r="E11" s="242">
        <v>37.200000000000003</v>
      </c>
      <c r="F11" s="243">
        <v>3206</v>
      </c>
      <c r="G11" s="244">
        <v>100</v>
      </c>
      <c r="H11" s="241">
        <v>721</v>
      </c>
      <c r="I11" s="242">
        <v>72.3</v>
      </c>
      <c r="J11" s="241">
        <v>276</v>
      </c>
      <c r="K11" s="242">
        <v>27.7</v>
      </c>
      <c r="L11" s="243">
        <v>997</v>
      </c>
      <c r="M11" s="244">
        <v>100</v>
      </c>
      <c r="N11" s="245">
        <v>2007</v>
      </c>
    </row>
    <row r="12" spans="1:14" s="175" customFormat="1" ht="24.95" customHeight="1" thickBot="1">
      <c r="A12" s="246">
        <v>2008</v>
      </c>
      <c r="B12" s="247">
        <v>1954</v>
      </c>
      <c r="C12" s="248">
        <v>60.4</v>
      </c>
      <c r="D12" s="247">
        <v>1281</v>
      </c>
      <c r="E12" s="248">
        <v>39.6</v>
      </c>
      <c r="F12" s="249">
        <v>3235</v>
      </c>
      <c r="G12" s="250">
        <v>100</v>
      </c>
      <c r="H12" s="247">
        <v>688</v>
      </c>
      <c r="I12" s="248">
        <v>73.3</v>
      </c>
      <c r="J12" s="247">
        <v>251</v>
      </c>
      <c r="K12" s="248">
        <v>26.7</v>
      </c>
      <c r="L12" s="249">
        <v>939</v>
      </c>
      <c r="M12" s="250">
        <v>100</v>
      </c>
      <c r="N12" s="251">
        <v>2008</v>
      </c>
    </row>
    <row r="13" spans="1:14" ht="24.95" customHeight="1" thickBot="1">
      <c r="A13" s="240">
        <v>2009</v>
      </c>
      <c r="B13" s="241">
        <v>1920</v>
      </c>
      <c r="C13" s="242">
        <v>60.9</v>
      </c>
      <c r="D13" s="241">
        <v>1233</v>
      </c>
      <c r="E13" s="242">
        <v>39.1</v>
      </c>
      <c r="F13" s="243">
        <v>3153</v>
      </c>
      <c r="G13" s="244">
        <v>100</v>
      </c>
      <c r="H13" s="241">
        <v>787</v>
      </c>
      <c r="I13" s="242">
        <v>71</v>
      </c>
      <c r="J13" s="241">
        <v>321</v>
      </c>
      <c r="K13" s="242">
        <v>29</v>
      </c>
      <c r="L13" s="243">
        <v>1108</v>
      </c>
      <c r="M13" s="244">
        <v>100</v>
      </c>
      <c r="N13" s="245">
        <v>2009</v>
      </c>
    </row>
    <row r="14" spans="1:14" s="175" customFormat="1" ht="24.95" customHeight="1" thickBot="1">
      <c r="A14" s="246">
        <v>2010</v>
      </c>
      <c r="B14" s="247">
        <v>1752</v>
      </c>
      <c r="C14" s="248">
        <v>58.9</v>
      </c>
      <c r="D14" s="247">
        <v>1225</v>
      </c>
      <c r="E14" s="248">
        <v>41.1</v>
      </c>
      <c r="F14" s="249">
        <v>2977</v>
      </c>
      <c r="G14" s="250">
        <v>100</v>
      </c>
      <c r="H14" s="247">
        <v>820</v>
      </c>
      <c r="I14" s="248">
        <v>70</v>
      </c>
      <c r="J14" s="247">
        <v>352</v>
      </c>
      <c r="K14" s="248">
        <v>30</v>
      </c>
      <c r="L14" s="249">
        <v>1172</v>
      </c>
      <c r="M14" s="250">
        <v>100</v>
      </c>
      <c r="N14" s="251">
        <v>2010</v>
      </c>
    </row>
    <row r="15" spans="1:14" ht="24.95" customHeight="1" thickBot="1">
      <c r="A15" s="240">
        <v>2011</v>
      </c>
      <c r="B15" s="241">
        <v>1898</v>
      </c>
      <c r="C15" s="242">
        <v>57.6</v>
      </c>
      <c r="D15" s="241">
        <v>1395</v>
      </c>
      <c r="E15" s="242">
        <v>42.4</v>
      </c>
      <c r="F15" s="243">
        <v>3293</v>
      </c>
      <c r="G15" s="244">
        <v>100</v>
      </c>
      <c r="H15" s="241">
        <v>754</v>
      </c>
      <c r="I15" s="242">
        <v>68.099999999999994</v>
      </c>
      <c r="J15" s="241">
        <v>354</v>
      </c>
      <c r="K15" s="242">
        <v>31.9</v>
      </c>
      <c r="L15" s="243">
        <v>1108</v>
      </c>
      <c r="M15" s="244">
        <v>100</v>
      </c>
      <c r="N15" s="245">
        <v>2011</v>
      </c>
    </row>
    <row r="16" spans="1:14" s="175" customFormat="1" ht="24.95" customHeight="1" thickBot="1">
      <c r="A16" s="246">
        <v>2012</v>
      </c>
      <c r="B16" s="247">
        <v>2053</v>
      </c>
      <c r="C16" s="248">
        <v>58.1</v>
      </c>
      <c r="D16" s="247">
        <v>1479</v>
      </c>
      <c r="E16" s="248">
        <v>41.9</v>
      </c>
      <c r="F16" s="249">
        <v>3532</v>
      </c>
      <c r="G16" s="250">
        <v>100</v>
      </c>
      <c r="H16" s="247">
        <v>835</v>
      </c>
      <c r="I16" s="248">
        <v>58.8</v>
      </c>
      <c r="J16" s="247">
        <v>585</v>
      </c>
      <c r="K16" s="248">
        <v>41.2</v>
      </c>
      <c r="L16" s="249">
        <v>1420</v>
      </c>
      <c r="M16" s="250">
        <v>100</v>
      </c>
      <c r="N16" s="251">
        <v>2012</v>
      </c>
    </row>
    <row r="17" spans="1:14" ht="24.95" customHeight="1" thickBot="1">
      <c r="A17" s="240">
        <v>2013</v>
      </c>
      <c r="B17" s="241">
        <v>2072</v>
      </c>
      <c r="C17" s="242">
        <v>57.3</v>
      </c>
      <c r="D17" s="241">
        <v>1547</v>
      </c>
      <c r="E17" s="242">
        <v>42.7</v>
      </c>
      <c r="F17" s="243">
        <v>3619</v>
      </c>
      <c r="G17" s="244">
        <v>100</v>
      </c>
      <c r="H17" s="241">
        <v>816</v>
      </c>
      <c r="I17" s="242">
        <v>61.6</v>
      </c>
      <c r="J17" s="241">
        <v>509</v>
      </c>
      <c r="K17" s="242">
        <v>38.4</v>
      </c>
      <c r="L17" s="243">
        <v>1325</v>
      </c>
      <c r="M17" s="244">
        <v>100</v>
      </c>
      <c r="N17" s="245">
        <v>2013</v>
      </c>
    </row>
    <row r="18" spans="1:14" s="175" customFormat="1" ht="24.95" customHeight="1" thickBot="1">
      <c r="A18" s="246">
        <v>2014</v>
      </c>
      <c r="B18" s="247">
        <v>2076</v>
      </c>
      <c r="C18" s="248">
        <v>56.5</v>
      </c>
      <c r="D18" s="247">
        <v>1598</v>
      </c>
      <c r="E18" s="248">
        <v>43.5</v>
      </c>
      <c r="F18" s="249">
        <v>3674</v>
      </c>
      <c r="G18" s="250">
        <v>100</v>
      </c>
      <c r="H18" s="247">
        <v>803</v>
      </c>
      <c r="I18" s="248">
        <v>61.1</v>
      </c>
      <c r="J18" s="247">
        <v>512</v>
      </c>
      <c r="K18" s="248">
        <v>38.9</v>
      </c>
      <c r="L18" s="249">
        <v>1315</v>
      </c>
      <c r="M18" s="250">
        <v>100</v>
      </c>
      <c r="N18" s="251">
        <v>2014</v>
      </c>
    </row>
    <row r="19" spans="1:14" ht="24.95" customHeight="1">
      <c r="A19" s="252">
        <v>2015</v>
      </c>
      <c r="B19" s="253">
        <v>2069</v>
      </c>
      <c r="C19" s="254">
        <v>55.6</v>
      </c>
      <c r="D19" s="253">
        <v>1655</v>
      </c>
      <c r="E19" s="254">
        <v>44.4</v>
      </c>
      <c r="F19" s="255">
        <v>3724</v>
      </c>
      <c r="G19" s="256">
        <v>100</v>
      </c>
      <c r="H19" s="253">
        <v>807</v>
      </c>
      <c r="I19" s="254">
        <v>61.7</v>
      </c>
      <c r="J19" s="253">
        <v>500</v>
      </c>
      <c r="K19" s="254">
        <v>38.299999999999997</v>
      </c>
      <c r="L19" s="255">
        <v>1307</v>
      </c>
      <c r="M19" s="256">
        <v>100</v>
      </c>
      <c r="N19" s="257">
        <v>2015</v>
      </c>
    </row>
    <row r="20" spans="1:14">
      <c r="C20" s="1"/>
      <c r="E20" s="1"/>
    </row>
    <row r="21" spans="1:14">
      <c r="C21" s="1"/>
      <c r="E21" s="1"/>
    </row>
    <row r="22" spans="1:14" s="74" customFormat="1" ht="73.5" customHeight="1">
      <c r="A22" s="1"/>
      <c r="B22" s="1"/>
      <c r="C22" s="1"/>
      <c r="D22" s="1"/>
      <c r="E22" s="1"/>
      <c r="F22" s="1"/>
      <c r="G22" s="73"/>
      <c r="H22" s="1"/>
      <c r="I22" s="73"/>
      <c r="J22" s="1"/>
      <c r="K22" s="73"/>
      <c r="L22" s="1"/>
      <c r="M22" s="73"/>
      <c r="N22" s="1"/>
    </row>
    <row r="23" spans="1:14" ht="105.75">
      <c r="A23" s="228" t="s">
        <v>766</v>
      </c>
      <c r="B23" s="228" t="s">
        <v>767</v>
      </c>
      <c r="C23" s="228" t="s">
        <v>768</v>
      </c>
      <c r="D23" s="228" t="s">
        <v>769</v>
      </c>
      <c r="E23" s="228"/>
    </row>
    <row r="24" spans="1:14" ht="15">
      <c r="A24">
        <f t="shared" ref="A24:A33" si="0">J10</f>
        <v>222</v>
      </c>
      <c r="B24">
        <f t="shared" ref="B24:B33" si="1">H10</f>
        <v>604</v>
      </c>
      <c r="C24">
        <f t="shared" ref="C24:C33" si="2">D10</f>
        <v>996</v>
      </c>
      <c r="D24">
        <f t="shared" ref="D24:D33" si="3">B10</f>
        <v>2023</v>
      </c>
      <c r="E24">
        <f>N10</f>
        <v>2006</v>
      </c>
      <c r="G24" s="1"/>
      <c r="I24" s="1"/>
      <c r="K24" s="1"/>
      <c r="M24" s="1"/>
    </row>
    <row r="25" spans="1:14" ht="15">
      <c r="A25">
        <f t="shared" si="0"/>
        <v>276</v>
      </c>
      <c r="B25">
        <f t="shared" si="1"/>
        <v>721</v>
      </c>
      <c r="C25">
        <f t="shared" si="2"/>
        <v>1193</v>
      </c>
      <c r="D25">
        <f t="shared" si="3"/>
        <v>2013</v>
      </c>
      <c r="E25">
        <f t="shared" ref="E25:E33" si="4">N11</f>
        <v>2007</v>
      </c>
      <c r="G25" s="1"/>
      <c r="I25" s="1"/>
      <c r="K25" s="1"/>
      <c r="M25" s="1"/>
    </row>
    <row r="26" spans="1:14" ht="15">
      <c r="A26">
        <f t="shared" si="0"/>
        <v>251</v>
      </c>
      <c r="B26">
        <f t="shared" si="1"/>
        <v>688</v>
      </c>
      <c r="C26">
        <f t="shared" si="2"/>
        <v>1281</v>
      </c>
      <c r="D26">
        <f t="shared" si="3"/>
        <v>1954</v>
      </c>
      <c r="E26">
        <f t="shared" si="4"/>
        <v>2008</v>
      </c>
      <c r="G26" s="1"/>
      <c r="I26" s="1"/>
      <c r="K26" s="1"/>
      <c r="M26" s="1"/>
    </row>
    <row r="27" spans="1:14" ht="15">
      <c r="A27">
        <f t="shared" si="0"/>
        <v>321</v>
      </c>
      <c r="B27">
        <f t="shared" si="1"/>
        <v>787</v>
      </c>
      <c r="C27">
        <f t="shared" si="2"/>
        <v>1233</v>
      </c>
      <c r="D27">
        <f t="shared" si="3"/>
        <v>1920</v>
      </c>
      <c r="E27">
        <f t="shared" si="4"/>
        <v>2009</v>
      </c>
    </row>
    <row r="28" spans="1:14" ht="15">
      <c r="A28">
        <f t="shared" si="0"/>
        <v>352</v>
      </c>
      <c r="B28">
        <f t="shared" si="1"/>
        <v>820</v>
      </c>
      <c r="C28">
        <f t="shared" si="2"/>
        <v>1225</v>
      </c>
      <c r="D28">
        <f t="shared" si="3"/>
        <v>1752</v>
      </c>
      <c r="E28">
        <f t="shared" si="4"/>
        <v>2010</v>
      </c>
    </row>
    <row r="29" spans="1:14" ht="15">
      <c r="A29">
        <f t="shared" si="0"/>
        <v>354</v>
      </c>
      <c r="B29">
        <f t="shared" si="1"/>
        <v>754</v>
      </c>
      <c r="C29">
        <f t="shared" si="2"/>
        <v>1395</v>
      </c>
      <c r="D29">
        <f t="shared" si="3"/>
        <v>1898</v>
      </c>
      <c r="E29">
        <f t="shared" si="4"/>
        <v>2011</v>
      </c>
    </row>
    <row r="30" spans="1:14" ht="15">
      <c r="A30">
        <f t="shared" si="0"/>
        <v>585</v>
      </c>
      <c r="B30">
        <f t="shared" si="1"/>
        <v>835</v>
      </c>
      <c r="C30">
        <f t="shared" si="2"/>
        <v>1479</v>
      </c>
      <c r="D30">
        <f t="shared" si="3"/>
        <v>2053</v>
      </c>
      <c r="E30">
        <f t="shared" si="4"/>
        <v>2012</v>
      </c>
    </row>
    <row r="31" spans="1:14" ht="15">
      <c r="A31">
        <f t="shared" si="0"/>
        <v>509</v>
      </c>
      <c r="B31">
        <f t="shared" si="1"/>
        <v>816</v>
      </c>
      <c r="C31">
        <f t="shared" si="2"/>
        <v>1547</v>
      </c>
      <c r="D31">
        <f t="shared" si="3"/>
        <v>2072</v>
      </c>
      <c r="E31">
        <f t="shared" si="4"/>
        <v>2013</v>
      </c>
    </row>
    <row r="32" spans="1:14" ht="15">
      <c r="A32">
        <f t="shared" si="0"/>
        <v>512</v>
      </c>
      <c r="B32">
        <f t="shared" si="1"/>
        <v>803</v>
      </c>
      <c r="C32">
        <f t="shared" si="2"/>
        <v>1598</v>
      </c>
      <c r="D32">
        <f t="shared" si="3"/>
        <v>2076</v>
      </c>
      <c r="E32">
        <f t="shared" si="4"/>
        <v>2014</v>
      </c>
    </row>
    <row r="33" spans="1:5" ht="15">
      <c r="A33">
        <f t="shared" si="0"/>
        <v>500</v>
      </c>
      <c r="B33">
        <f t="shared" si="1"/>
        <v>807</v>
      </c>
      <c r="C33">
        <f t="shared" si="2"/>
        <v>1655</v>
      </c>
      <c r="D33">
        <f t="shared" si="3"/>
        <v>2069</v>
      </c>
      <c r="E33">
        <f t="shared" si="4"/>
        <v>2015</v>
      </c>
    </row>
  </sheetData>
  <mergeCells count="13">
    <mergeCell ref="A1:N1"/>
    <mergeCell ref="J7:K7"/>
    <mergeCell ref="L7:M7"/>
    <mergeCell ref="H6:M6"/>
    <mergeCell ref="B6:G6"/>
    <mergeCell ref="A6:A8"/>
    <mergeCell ref="A2:N2"/>
    <mergeCell ref="A3:N3"/>
    <mergeCell ref="N6:N8"/>
    <mergeCell ref="B7:C7"/>
    <mergeCell ref="D7:E7"/>
    <mergeCell ref="F7:G7"/>
    <mergeCell ref="H7:I7"/>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rightToLeft="1" view="pageBreakPreview" zoomScaleNormal="75" zoomScaleSheetLayoutView="100" workbookViewId="0">
      <selection activeCell="N8" sqref="N8"/>
    </sheetView>
  </sheetViews>
  <sheetFormatPr defaultColWidth="9.140625" defaultRowHeight="12.75"/>
  <cols>
    <col min="1" max="1" width="18.85546875" style="1" customWidth="1"/>
    <col min="2" max="9" width="10" style="1" customWidth="1"/>
    <col min="10" max="10" width="9.140625" style="1" customWidth="1"/>
    <col min="11" max="11" width="10.7109375" style="1" customWidth="1"/>
    <col min="12" max="12" width="23.7109375" style="1" customWidth="1"/>
    <col min="13" max="16384" width="9.140625" style="1"/>
  </cols>
  <sheetData>
    <row r="1" spans="1:12" s="2" customFormat="1" ht="24" customHeight="1">
      <c r="A1" s="934" t="s">
        <v>583</v>
      </c>
      <c r="B1" s="934"/>
      <c r="C1" s="934"/>
      <c r="D1" s="934"/>
      <c r="E1" s="934"/>
      <c r="F1" s="934"/>
      <c r="G1" s="934"/>
      <c r="H1" s="934"/>
      <c r="I1" s="934"/>
      <c r="J1" s="934"/>
      <c r="K1" s="934"/>
      <c r="L1" s="934"/>
    </row>
    <row r="2" spans="1:12" s="3" customFormat="1" ht="18">
      <c r="A2" s="958" t="s">
        <v>582</v>
      </c>
      <c r="B2" s="958"/>
      <c r="C2" s="958"/>
      <c r="D2" s="958"/>
      <c r="E2" s="958"/>
      <c r="F2" s="958"/>
      <c r="G2" s="958"/>
      <c r="H2" s="958"/>
      <c r="I2" s="958"/>
      <c r="J2" s="958"/>
      <c r="K2" s="958"/>
      <c r="L2" s="958"/>
    </row>
    <row r="3" spans="1:12" s="2" customFormat="1" ht="15.75">
      <c r="A3" s="959">
        <v>2015</v>
      </c>
      <c r="B3" s="959"/>
      <c r="C3" s="959"/>
      <c r="D3" s="959"/>
      <c r="E3" s="959"/>
      <c r="F3" s="959"/>
      <c r="G3" s="959"/>
      <c r="H3" s="959"/>
      <c r="I3" s="959"/>
      <c r="J3" s="959"/>
      <c r="K3" s="959"/>
      <c r="L3" s="959"/>
    </row>
    <row r="4" spans="1:12" s="2" customFormat="1" ht="15.75">
      <c r="A4" s="959" t="s">
        <v>335</v>
      </c>
      <c r="B4" s="959"/>
      <c r="C4" s="959"/>
      <c r="D4" s="959"/>
      <c r="E4" s="959"/>
      <c r="F4" s="959"/>
      <c r="G4" s="959"/>
      <c r="H4" s="959"/>
      <c r="I4" s="959"/>
      <c r="J4" s="959"/>
      <c r="K4" s="959"/>
      <c r="L4" s="959"/>
    </row>
    <row r="5" spans="1:12" s="2" customFormat="1" ht="15.75">
      <c r="A5" s="635"/>
      <c r="B5" s="635"/>
      <c r="C5" s="635"/>
      <c r="D5" s="635"/>
      <c r="E5" s="635"/>
      <c r="F5" s="635"/>
      <c r="G5" s="635"/>
      <c r="H5" s="635"/>
      <c r="I5" s="635"/>
      <c r="J5" s="635"/>
      <c r="K5" s="635"/>
      <c r="L5" s="635"/>
    </row>
    <row r="6" spans="1:12" ht="15.75">
      <c r="A6" s="648" t="s">
        <v>605</v>
      </c>
      <c r="B6" s="652"/>
      <c r="C6" s="652"/>
      <c r="D6" s="652"/>
      <c r="E6" s="652"/>
      <c r="F6" s="652"/>
      <c r="G6" s="652"/>
      <c r="H6" s="652"/>
      <c r="I6" s="652"/>
      <c r="J6" s="652"/>
      <c r="K6" s="652"/>
      <c r="L6" s="650" t="s">
        <v>604</v>
      </c>
    </row>
    <row r="7" spans="1:12" ht="30.75" customHeight="1" thickBot="1">
      <c r="A7" s="985" t="s">
        <v>524</v>
      </c>
      <c r="B7" s="999" t="s">
        <v>376</v>
      </c>
      <c r="C7" s="999"/>
      <c r="D7" s="999"/>
      <c r="E7" s="999"/>
      <c r="F7" s="999"/>
      <c r="G7" s="999"/>
      <c r="H7" s="999"/>
      <c r="I7" s="999"/>
      <c r="J7" s="999"/>
      <c r="K7" s="1000" t="s">
        <v>375</v>
      </c>
      <c r="L7" s="997" t="s">
        <v>581</v>
      </c>
    </row>
    <row r="8" spans="1:12" ht="60.75" customHeight="1">
      <c r="A8" s="986"/>
      <c r="B8" s="303" t="s">
        <v>373</v>
      </c>
      <c r="C8" s="303" t="s">
        <v>997</v>
      </c>
      <c r="D8" s="303" t="s">
        <v>371</v>
      </c>
      <c r="E8" s="303" t="s">
        <v>370</v>
      </c>
      <c r="F8" s="303" t="s">
        <v>369</v>
      </c>
      <c r="G8" s="303" t="s">
        <v>975</v>
      </c>
      <c r="H8" s="303" t="s">
        <v>368</v>
      </c>
      <c r="I8" s="303" t="s">
        <v>293</v>
      </c>
      <c r="J8" s="583" t="s">
        <v>9</v>
      </c>
      <c r="K8" s="1023"/>
      <c r="L8" s="1037"/>
    </row>
    <row r="9" spans="1:12" ht="15.75" thickBot="1">
      <c r="A9" s="457">
        <v>-20</v>
      </c>
      <c r="B9" s="422">
        <v>1</v>
      </c>
      <c r="C9" s="423">
        <v>0</v>
      </c>
      <c r="D9" s="423">
        <v>1</v>
      </c>
      <c r="E9" s="423">
        <v>12</v>
      </c>
      <c r="F9" s="423">
        <v>7</v>
      </c>
      <c r="G9" s="423">
        <v>0</v>
      </c>
      <c r="H9" s="423">
        <v>0</v>
      </c>
      <c r="I9" s="423">
        <v>0</v>
      </c>
      <c r="J9" s="424">
        <f>SUM(B9:I9)</f>
        <v>21</v>
      </c>
      <c r="K9" s="458">
        <f t="shared" ref="K9:K19" si="0">J9/$J$20%</f>
        <v>3.4941763727121464</v>
      </c>
      <c r="L9" s="459">
        <v>-20</v>
      </c>
    </row>
    <row r="10" spans="1:12" ht="15.75" thickBot="1">
      <c r="A10" s="451" t="s">
        <v>311</v>
      </c>
      <c r="B10" s="418">
        <v>4</v>
      </c>
      <c r="C10" s="401">
        <v>1</v>
      </c>
      <c r="D10" s="401">
        <v>4</v>
      </c>
      <c r="E10" s="401">
        <v>13</v>
      </c>
      <c r="F10" s="401">
        <v>63</v>
      </c>
      <c r="G10" s="401">
        <v>0</v>
      </c>
      <c r="H10" s="401">
        <v>7</v>
      </c>
      <c r="I10" s="401">
        <v>0</v>
      </c>
      <c r="J10" s="424">
        <f t="shared" ref="J10:J19" si="1">SUM(B10:I10)</f>
        <v>92</v>
      </c>
      <c r="K10" s="453">
        <f t="shared" si="0"/>
        <v>15.307820299500833</v>
      </c>
      <c r="L10" s="441" t="s">
        <v>269</v>
      </c>
    </row>
    <row r="11" spans="1:12" ht="15.75" thickBot="1">
      <c r="A11" s="450" t="s">
        <v>310</v>
      </c>
      <c r="B11" s="418">
        <v>1</v>
      </c>
      <c r="C11" s="401">
        <v>3</v>
      </c>
      <c r="D11" s="401">
        <v>4</v>
      </c>
      <c r="E11" s="401">
        <v>15</v>
      </c>
      <c r="F11" s="401">
        <v>69</v>
      </c>
      <c r="G11" s="401">
        <v>9</v>
      </c>
      <c r="H11" s="401">
        <v>70</v>
      </c>
      <c r="I11" s="401">
        <v>1</v>
      </c>
      <c r="J11" s="424">
        <f t="shared" si="1"/>
        <v>172</v>
      </c>
      <c r="K11" s="452">
        <f t="shared" si="0"/>
        <v>28.618968386023294</v>
      </c>
      <c r="L11" s="440" t="s">
        <v>268</v>
      </c>
    </row>
    <row r="12" spans="1:12" ht="15.75" thickBot="1">
      <c r="A12" s="451" t="s">
        <v>309</v>
      </c>
      <c r="B12" s="418">
        <v>1</v>
      </c>
      <c r="C12" s="401">
        <v>0</v>
      </c>
      <c r="D12" s="401">
        <v>1</v>
      </c>
      <c r="E12" s="401">
        <v>8</v>
      </c>
      <c r="F12" s="401">
        <v>58</v>
      </c>
      <c r="G12" s="401">
        <v>6</v>
      </c>
      <c r="H12" s="401">
        <v>54</v>
      </c>
      <c r="I12" s="401">
        <v>0</v>
      </c>
      <c r="J12" s="424">
        <f t="shared" si="1"/>
        <v>128</v>
      </c>
      <c r="K12" s="453">
        <f t="shared" si="0"/>
        <v>21.297836938435942</v>
      </c>
      <c r="L12" s="441" t="s">
        <v>267</v>
      </c>
    </row>
    <row r="13" spans="1:12" ht="15.75" thickBot="1">
      <c r="A13" s="450" t="s">
        <v>308</v>
      </c>
      <c r="B13" s="418">
        <v>3</v>
      </c>
      <c r="C13" s="401">
        <v>3</v>
      </c>
      <c r="D13" s="401">
        <v>5</v>
      </c>
      <c r="E13" s="401">
        <v>11</v>
      </c>
      <c r="F13" s="401">
        <v>29</v>
      </c>
      <c r="G13" s="401">
        <v>5</v>
      </c>
      <c r="H13" s="401">
        <v>42</v>
      </c>
      <c r="I13" s="401">
        <v>0</v>
      </c>
      <c r="J13" s="424">
        <f t="shared" si="1"/>
        <v>98</v>
      </c>
      <c r="K13" s="452">
        <f t="shared" si="0"/>
        <v>16.306156405990016</v>
      </c>
      <c r="L13" s="440" t="s">
        <v>266</v>
      </c>
    </row>
    <row r="14" spans="1:12" ht="15.75" thickBot="1">
      <c r="A14" s="451" t="s">
        <v>307</v>
      </c>
      <c r="B14" s="418">
        <v>0</v>
      </c>
      <c r="C14" s="401">
        <v>0</v>
      </c>
      <c r="D14" s="401">
        <v>2</v>
      </c>
      <c r="E14" s="401">
        <v>0</v>
      </c>
      <c r="F14" s="401">
        <v>13</v>
      </c>
      <c r="G14" s="401">
        <v>2</v>
      </c>
      <c r="H14" s="401">
        <v>18</v>
      </c>
      <c r="I14" s="401">
        <v>0</v>
      </c>
      <c r="J14" s="424">
        <f t="shared" si="1"/>
        <v>35</v>
      </c>
      <c r="K14" s="453">
        <f t="shared" si="0"/>
        <v>5.8236272878535775</v>
      </c>
      <c r="L14" s="441" t="s">
        <v>265</v>
      </c>
    </row>
    <row r="15" spans="1:12" ht="15.75" thickBot="1">
      <c r="A15" s="450" t="s">
        <v>306</v>
      </c>
      <c r="B15" s="418">
        <v>0</v>
      </c>
      <c r="C15" s="401">
        <v>0</v>
      </c>
      <c r="D15" s="401">
        <v>0</v>
      </c>
      <c r="E15" s="401">
        <v>0</v>
      </c>
      <c r="F15" s="401">
        <v>10</v>
      </c>
      <c r="G15" s="401">
        <v>2</v>
      </c>
      <c r="H15" s="401">
        <v>13</v>
      </c>
      <c r="I15" s="401">
        <v>1</v>
      </c>
      <c r="J15" s="424">
        <f t="shared" si="1"/>
        <v>26</v>
      </c>
      <c r="K15" s="452">
        <f t="shared" si="0"/>
        <v>4.3261231281198</v>
      </c>
      <c r="L15" s="440" t="s">
        <v>264</v>
      </c>
    </row>
    <row r="16" spans="1:12" ht="15.75" thickBot="1">
      <c r="A16" s="451" t="s">
        <v>305</v>
      </c>
      <c r="B16" s="418">
        <v>1</v>
      </c>
      <c r="C16" s="401">
        <v>1</v>
      </c>
      <c r="D16" s="401">
        <v>1</v>
      </c>
      <c r="E16" s="401">
        <v>1</v>
      </c>
      <c r="F16" s="401">
        <v>7</v>
      </c>
      <c r="G16" s="401">
        <v>0</v>
      </c>
      <c r="H16" s="401">
        <v>6</v>
      </c>
      <c r="I16" s="401">
        <v>0</v>
      </c>
      <c r="J16" s="424">
        <f t="shared" si="1"/>
        <v>17</v>
      </c>
      <c r="K16" s="453">
        <f t="shared" si="0"/>
        <v>2.8286189683860234</v>
      </c>
      <c r="L16" s="441" t="s">
        <v>263</v>
      </c>
    </row>
    <row r="17" spans="1:12" ht="15.75" thickBot="1">
      <c r="A17" s="450" t="s">
        <v>304</v>
      </c>
      <c r="B17" s="418">
        <v>1</v>
      </c>
      <c r="C17" s="401">
        <v>0</v>
      </c>
      <c r="D17" s="401">
        <v>1</v>
      </c>
      <c r="E17" s="401">
        <v>1</v>
      </c>
      <c r="F17" s="401">
        <v>2</v>
      </c>
      <c r="G17" s="401">
        <v>0</v>
      </c>
      <c r="H17" s="401">
        <v>4</v>
      </c>
      <c r="I17" s="401">
        <v>0</v>
      </c>
      <c r="J17" s="424">
        <f t="shared" si="1"/>
        <v>9</v>
      </c>
      <c r="K17" s="452">
        <f t="shared" si="0"/>
        <v>1.497504159733777</v>
      </c>
      <c r="L17" s="440" t="s">
        <v>262</v>
      </c>
    </row>
    <row r="18" spans="1:12" ht="15.75" thickBot="1">
      <c r="A18" s="451" t="s">
        <v>18</v>
      </c>
      <c r="B18" s="418">
        <v>0</v>
      </c>
      <c r="C18" s="401">
        <v>0</v>
      </c>
      <c r="D18" s="401">
        <v>0</v>
      </c>
      <c r="E18" s="401">
        <v>0</v>
      </c>
      <c r="F18" s="401">
        <v>0</v>
      </c>
      <c r="G18" s="401">
        <v>1</v>
      </c>
      <c r="H18" s="401">
        <v>2</v>
      </c>
      <c r="I18" s="401">
        <v>0</v>
      </c>
      <c r="J18" s="424">
        <f t="shared" si="1"/>
        <v>3</v>
      </c>
      <c r="K18" s="453">
        <f t="shared" si="0"/>
        <v>0.49916805324459235</v>
      </c>
      <c r="L18" s="441" t="s">
        <v>323</v>
      </c>
    </row>
    <row r="19" spans="1:12" ht="15.75" thickBot="1">
      <c r="A19" s="460" t="s">
        <v>19</v>
      </c>
      <c r="B19" s="427">
        <v>0</v>
      </c>
      <c r="C19" s="428">
        <v>0</v>
      </c>
      <c r="D19" s="428">
        <v>0</v>
      </c>
      <c r="E19" s="428">
        <v>0</v>
      </c>
      <c r="F19" s="428">
        <v>0</v>
      </c>
      <c r="G19" s="428">
        <v>0</v>
      </c>
      <c r="H19" s="428">
        <v>0</v>
      </c>
      <c r="I19" s="428">
        <v>0</v>
      </c>
      <c r="J19" s="424">
        <f t="shared" si="1"/>
        <v>0</v>
      </c>
      <c r="K19" s="461">
        <f t="shared" si="0"/>
        <v>0</v>
      </c>
      <c r="L19" s="462" t="s">
        <v>20</v>
      </c>
    </row>
    <row r="20" spans="1:12" ht="21" customHeight="1">
      <c r="A20" s="454" t="s">
        <v>354</v>
      </c>
      <c r="B20" s="444">
        <f t="shared" ref="B20:K20" si="2">SUM(B7:B19)</f>
        <v>12</v>
      </c>
      <c r="C20" s="444">
        <f t="shared" si="2"/>
        <v>8</v>
      </c>
      <c r="D20" s="444">
        <f t="shared" si="2"/>
        <v>19</v>
      </c>
      <c r="E20" s="444">
        <f t="shared" si="2"/>
        <v>61</v>
      </c>
      <c r="F20" s="444">
        <f t="shared" si="2"/>
        <v>258</v>
      </c>
      <c r="G20" s="444">
        <f t="shared" si="2"/>
        <v>25</v>
      </c>
      <c r="H20" s="444">
        <f t="shared" si="2"/>
        <v>216</v>
      </c>
      <c r="I20" s="444">
        <f t="shared" si="2"/>
        <v>2</v>
      </c>
      <c r="J20" s="444">
        <f t="shared" si="2"/>
        <v>601</v>
      </c>
      <c r="K20" s="455">
        <f t="shared" si="2"/>
        <v>100.00000000000001</v>
      </c>
      <c r="L20" s="456" t="s">
        <v>22</v>
      </c>
    </row>
    <row r="21" spans="1:12" ht="21" customHeight="1">
      <c r="A21" s="447" t="s">
        <v>353</v>
      </c>
      <c r="B21" s="415">
        <f t="shared" ref="B21:I21" si="3">B20/$J$20%</f>
        <v>1.9966722129783694</v>
      </c>
      <c r="C21" s="415">
        <f t="shared" si="3"/>
        <v>1.3311148086522464</v>
      </c>
      <c r="D21" s="415">
        <f t="shared" si="3"/>
        <v>3.1613976705490852</v>
      </c>
      <c r="E21" s="415">
        <f t="shared" si="3"/>
        <v>10.149750415973378</v>
      </c>
      <c r="F21" s="415">
        <f t="shared" si="3"/>
        <v>42.928452579034946</v>
      </c>
      <c r="G21" s="415">
        <f t="shared" si="3"/>
        <v>4.1597337770382694</v>
      </c>
      <c r="H21" s="415">
        <f t="shared" si="3"/>
        <v>35.940099833610653</v>
      </c>
      <c r="I21" s="415">
        <f t="shared" si="3"/>
        <v>0.3327787021630616</v>
      </c>
      <c r="J21" s="415">
        <f>SUM(B21:I21)</f>
        <v>100.00000000000001</v>
      </c>
      <c r="K21" s="448"/>
      <c r="L21" s="449" t="s">
        <v>352</v>
      </c>
    </row>
  </sheetData>
  <mergeCells count="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rightToLeft="1" view="pageBreakPreview" zoomScaleNormal="75" zoomScaleSheetLayoutView="100" workbookViewId="0">
      <selection activeCell="O8" sqref="O8"/>
    </sheetView>
  </sheetViews>
  <sheetFormatPr defaultColWidth="9.140625" defaultRowHeight="12.75"/>
  <cols>
    <col min="1" max="1" width="18.85546875" style="1" customWidth="1"/>
    <col min="2" max="9" width="10" style="1" customWidth="1"/>
    <col min="10" max="10" width="9.140625" style="1" customWidth="1"/>
    <col min="11" max="11" width="10.7109375" style="1" customWidth="1"/>
    <col min="12" max="12" width="23.7109375" style="1" customWidth="1"/>
    <col min="13" max="16384" width="9.140625" style="1"/>
  </cols>
  <sheetData>
    <row r="1" spans="1:12" s="2" customFormat="1" ht="24" customHeight="1">
      <c r="A1" s="934" t="s">
        <v>583</v>
      </c>
      <c r="B1" s="934"/>
      <c r="C1" s="934"/>
      <c r="D1" s="934"/>
      <c r="E1" s="934"/>
      <c r="F1" s="934"/>
      <c r="G1" s="934"/>
      <c r="H1" s="934"/>
      <c r="I1" s="934"/>
      <c r="J1" s="934"/>
      <c r="K1" s="934"/>
      <c r="L1" s="934"/>
    </row>
    <row r="2" spans="1:12" s="3" customFormat="1" ht="18">
      <c r="A2" s="958" t="s">
        <v>582</v>
      </c>
      <c r="B2" s="958"/>
      <c r="C2" s="958"/>
      <c r="D2" s="958"/>
      <c r="E2" s="958"/>
      <c r="F2" s="958"/>
      <c r="G2" s="958"/>
      <c r="H2" s="958"/>
      <c r="I2" s="958"/>
      <c r="J2" s="958"/>
      <c r="K2" s="958"/>
      <c r="L2" s="958"/>
    </row>
    <row r="3" spans="1:12" s="2" customFormat="1" ht="15.75">
      <c r="A3" s="959">
        <v>2015</v>
      </c>
      <c r="B3" s="959"/>
      <c r="C3" s="959"/>
      <c r="D3" s="959"/>
      <c r="E3" s="959"/>
      <c r="F3" s="959"/>
      <c r="G3" s="959"/>
      <c r="H3" s="959"/>
      <c r="I3" s="959"/>
      <c r="J3" s="959"/>
      <c r="K3" s="959"/>
      <c r="L3" s="959"/>
    </row>
    <row r="4" spans="1:12" s="2" customFormat="1" ht="15.75">
      <c r="A4" s="959" t="s">
        <v>1</v>
      </c>
      <c r="B4" s="959"/>
      <c r="C4" s="959"/>
      <c r="D4" s="959"/>
      <c r="E4" s="959"/>
      <c r="F4" s="959"/>
      <c r="G4" s="959"/>
      <c r="H4" s="959"/>
      <c r="I4" s="959"/>
      <c r="J4" s="959"/>
      <c r="K4" s="959"/>
      <c r="L4" s="959"/>
    </row>
    <row r="5" spans="1:12" s="2" customFormat="1" ht="15.75">
      <c r="A5" s="635"/>
      <c r="B5" s="635"/>
      <c r="C5" s="635"/>
      <c r="D5" s="635"/>
      <c r="E5" s="635"/>
      <c r="F5" s="635"/>
      <c r="G5" s="635"/>
      <c r="H5" s="635"/>
      <c r="I5" s="635"/>
      <c r="J5" s="635"/>
      <c r="K5" s="635"/>
      <c r="L5" s="635"/>
    </row>
    <row r="6" spans="1:12" ht="15.75">
      <c r="A6" s="648" t="s">
        <v>2</v>
      </c>
      <c r="B6" s="652"/>
      <c r="C6" s="652"/>
      <c r="D6" s="652"/>
      <c r="E6" s="652"/>
      <c r="F6" s="652"/>
      <c r="G6" s="652"/>
      <c r="H6" s="652"/>
      <c r="I6" s="652"/>
      <c r="J6" s="652"/>
      <c r="K6" s="652"/>
      <c r="L6" s="650" t="s">
        <v>3</v>
      </c>
    </row>
    <row r="7" spans="1:12" ht="30.75" customHeight="1" thickBot="1">
      <c r="A7" s="985" t="s">
        <v>524</v>
      </c>
      <c r="B7" s="999" t="s">
        <v>376</v>
      </c>
      <c r="C7" s="999"/>
      <c r="D7" s="999"/>
      <c r="E7" s="999"/>
      <c r="F7" s="999"/>
      <c r="G7" s="999"/>
      <c r="H7" s="999"/>
      <c r="I7" s="999"/>
      <c r="J7" s="999"/>
      <c r="K7" s="1000" t="s">
        <v>375</v>
      </c>
      <c r="L7" s="997" t="s">
        <v>581</v>
      </c>
    </row>
    <row r="8" spans="1:12" ht="60.75" customHeight="1">
      <c r="A8" s="986"/>
      <c r="B8" s="303" t="s">
        <v>373</v>
      </c>
      <c r="C8" s="303" t="s">
        <v>997</v>
      </c>
      <c r="D8" s="303" t="s">
        <v>371</v>
      </c>
      <c r="E8" s="303" t="s">
        <v>370</v>
      </c>
      <c r="F8" s="303" t="s">
        <v>369</v>
      </c>
      <c r="G8" s="303" t="s">
        <v>975</v>
      </c>
      <c r="H8" s="303" t="s">
        <v>368</v>
      </c>
      <c r="I8" s="303" t="s">
        <v>293</v>
      </c>
      <c r="J8" s="583" t="s">
        <v>9</v>
      </c>
      <c r="K8" s="1023"/>
      <c r="L8" s="1037"/>
    </row>
    <row r="9" spans="1:12" ht="15.75" thickBot="1">
      <c r="A9" s="485">
        <v>-20</v>
      </c>
      <c r="B9" s="152">
        <v>1</v>
      </c>
      <c r="C9" s="152">
        <v>0</v>
      </c>
      <c r="D9" s="152">
        <v>5</v>
      </c>
      <c r="E9" s="152">
        <v>23</v>
      </c>
      <c r="F9" s="152">
        <v>23</v>
      </c>
      <c r="G9" s="152">
        <v>0</v>
      </c>
      <c r="H9" s="152">
        <v>0</v>
      </c>
      <c r="I9" s="152">
        <v>0</v>
      </c>
      <c r="J9" s="8">
        <f>SUM(B9:I9)</f>
        <v>52</v>
      </c>
      <c r="K9" s="312">
        <f t="shared" ref="K9:K19" si="0">J9/$J$20%</f>
        <v>3.9785768936495791</v>
      </c>
      <c r="L9" s="459">
        <v>-20</v>
      </c>
    </row>
    <row r="10" spans="1:12" ht="15.75" thickBot="1">
      <c r="A10" s="225" t="s">
        <v>311</v>
      </c>
      <c r="B10" s="533">
        <v>5</v>
      </c>
      <c r="C10" s="533">
        <v>1</v>
      </c>
      <c r="D10" s="533">
        <v>8</v>
      </c>
      <c r="E10" s="533">
        <v>41</v>
      </c>
      <c r="F10" s="533">
        <v>205</v>
      </c>
      <c r="G10" s="533">
        <v>0</v>
      </c>
      <c r="H10" s="533">
        <v>13</v>
      </c>
      <c r="I10" s="533">
        <v>1</v>
      </c>
      <c r="J10" s="8">
        <f t="shared" ref="J10:J19" si="1">SUM(B10:I10)</f>
        <v>274</v>
      </c>
      <c r="K10" s="12">
        <f t="shared" si="0"/>
        <v>20.964039785768936</v>
      </c>
      <c r="L10" s="441" t="s">
        <v>269</v>
      </c>
    </row>
    <row r="11" spans="1:12" ht="15.75" thickBot="1">
      <c r="A11" s="224" t="s">
        <v>310</v>
      </c>
      <c r="B11" s="533">
        <v>4</v>
      </c>
      <c r="C11" s="533">
        <v>7</v>
      </c>
      <c r="D11" s="533">
        <v>8</v>
      </c>
      <c r="E11" s="533">
        <v>33</v>
      </c>
      <c r="F11" s="533">
        <v>186</v>
      </c>
      <c r="G11" s="533">
        <v>12</v>
      </c>
      <c r="H11" s="533">
        <v>101</v>
      </c>
      <c r="I11" s="533">
        <v>1</v>
      </c>
      <c r="J11" s="8">
        <f t="shared" si="1"/>
        <v>352</v>
      </c>
      <c r="K11" s="15">
        <f t="shared" si="0"/>
        <v>26.931905126243304</v>
      </c>
      <c r="L11" s="534" t="s">
        <v>268</v>
      </c>
    </row>
    <row r="12" spans="1:12" ht="15.75" thickBot="1">
      <c r="A12" s="225" t="s">
        <v>309</v>
      </c>
      <c r="B12" s="533">
        <v>1</v>
      </c>
      <c r="C12" s="533">
        <v>1</v>
      </c>
      <c r="D12" s="533">
        <v>8</v>
      </c>
      <c r="E12" s="533">
        <v>18</v>
      </c>
      <c r="F12" s="533">
        <v>105</v>
      </c>
      <c r="G12" s="533">
        <v>7</v>
      </c>
      <c r="H12" s="533">
        <v>92</v>
      </c>
      <c r="I12" s="533">
        <v>0</v>
      </c>
      <c r="J12" s="8">
        <f t="shared" si="1"/>
        <v>232</v>
      </c>
      <c r="K12" s="12">
        <f t="shared" si="0"/>
        <v>17.750573833205813</v>
      </c>
      <c r="L12" s="441" t="s">
        <v>267</v>
      </c>
    </row>
    <row r="13" spans="1:12" ht="15.75" thickBot="1">
      <c r="A13" s="224" t="s">
        <v>308</v>
      </c>
      <c r="B13" s="533">
        <v>4</v>
      </c>
      <c r="C13" s="533">
        <v>3</v>
      </c>
      <c r="D13" s="533">
        <v>12</v>
      </c>
      <c r="E13" s="533">
        <v>19</v>
      </c>
      <c r="F13" s="533">
        <v>54</v>
      </c>
      <c r="G13" s="533">
        <v>7</v>
      </c>
      <c r="H13" s="533">
        <v>73</v>
      </c>
      <c r="I13" s="533">
        <v>0</v>
      </c>
      <c r="J13" s="8">
        <f t="shared" si="1"/>
        <v>172</v>
      </c>
      <c r="K13" s="15">
        <f t="shared" si="0"/>
        <v>13.159908186687069</v>
      </c>
      <c r="L13" s="534" t="s">
        <v>266</v>
      </c>
    </row>
    <row r="14" spans="1:12" ht="15.75" thickBot="1">
      <c r="A14" s="225" t="s">
        <v>307</v>
      </c>
      <c r="B14" s="533">
        <v>2</v>
      </c>
      <c r="C14" s="533">
        <v>0</v>
      </c>
      <c r="D14" s="533">
        <v>4</v>
      </c>
      <c r="E14" s="533">
        <v>8</v>
      </c>
      <c r="F14" s="533">
        <v>31</v>
      </c>
      <c r="G14" s="533">
        <v>2</v>
      </c>
      <c r="H14" s="533">
        <v>34</v>
      </c>
      <c r="I14" s="533">
        <v>0</v>
      </c>
      <c r="J14" s="8">
        <f t="shared" si="1"/>
        <v>81</v>
      </c>
      <c r="K14" s="12">
        <f t="shared" si="0"/>
        <v>6.1973986228003062</v>
      </c>
      <c r="L14" s="441" t="s">
        <v>265</v>
      </c>
    </row>
    <row r="15" spans="1:12" ht="15.75" thickBot="1">
      <c r="A15" s="224" t="s">
        <v>306</v>
      </c>
      <c r="B15" s="533">
        <v>3</v>
      </c>
      <c r="C15" s="533">
        <v>0</v>
      </c>
      <c r="D15" s="533">
        <v>8</v>
      </c>
      <c r="E15" s="533">
        <v>6</v>
      </c>
      <c r="F15" s="533">
        <v>19</v>
      </c>
      <c r="G15" s="533">
        <v>3</v>
      </c>
      <c r="H15" s="533">
        <v>27</v>
      </c>
      <c r="I15" s="533">
        <v>1</v>
      </c>
      <c r="J15" s="8">
        <f t="shared" si="1"/>
        <v>67</v>
      </c>
      <c r="K15" s="15">
        <f t="shared" si="0"/>
        <v>5.1262433052792655</v>
      </c>
      <c r="L15" s="534" t="s">
        <v>264</v>
      </c>
    </row>
    <row r="16" spans="1:12" ht="15.75" thickBot="1">
      <c r="A16" s="225" t="s">
        <v>305</v>
      </c>
      <c r="B16" s="533">
        <v>6</v>
      </c>
      <c r="C16" s="533">
        <v>1</v>
      </c>
      <c r="D16" s="533">
        <v>2</v>
      </c>
      <c r="E16" s="533">
        <v>3</v>
      </c>
      <c r="F16" s="533">
        <v>14</v>
      </c>
      <c r="G16" s="533">
        <v>0</v>
      </c>
      <c r="H16" s="533">
        <v>13</v>
      </c>
      <c r="I16" s="533">
        <v>0</v>
      </c>
      <c r="J16" s="8">
        <f t="shared" si="1"/>
        <v>39</v>
      </c>
      <c r="K16" s="12">
        <f t="shared" si="0"/>
        <v>2.9839326702371842</v>
      </c>
      <c r="L16" s="441" t="s">
        <v>263</v>
      </c>
    </row>
    <row r="17" spans="1:12" ht="15.75" thickBot="1">
      <c r="A17" s="224" t="s">
        <v>304</v>
      </c>
      <c r="B17" s="533">
        <v>6</v>
      </c>
      <c r="C17" s="533">
        <v>1</v>
      </c>
      <c r="D17" s="533">
        <v>3</v>
      </c>
      <c r="E17" s="533">
        <v>4</v>
      </c>
      <c r="F17" s="533">
        <v>6</v>
      </c>
      <c r="G17" s="533">
        <v>0</v>
      </c>
      <c r="H17" s="533">
        <v>9</v>
      </c>
      <c r="I17" s="533">
        <v>0</v>
      </c>
      <c r="J17" s="8">
        <f t="shared" si="1"/>
        <v>29</v>
      </c>
      <c r="K17" s="15">
        <f t="shared" si="0"/>
        <v>2.2188217291507266</v>
      </c>
      <c r="L17" s="534" t="s">
        <v>262</v>
      </c>
    </row>
    <row r="18" spans="1:12" ht="15.75" thickBot="1">
      <c r="A18" s="225" t="s">
        <v>18</v>
      </c>
      <c r="B18" s="533">
        <v>0</v>
      </c>
      <c r="C18" s="533">
        <v>3</v>
      </c>
      <c r="D18" s="533">
        <v>0</v>
      </c>
      <c r="E18" s="533">
        <v>0</v>
      </c>
      <c r="F18" s="533">
        <v>2</v>
      </c>
      <c r="G18" s="533">
        <v>1</v>
      </c>
      <c r="H18" s="533">
        <v>3</v>
      </c>
      <c r="I18" s="533">
        <v>0</v>
      </c>
      <c r="J18" s="8">
        <f t="shared" si="1"/>
        <v>9</v>
      </c>
      <c r="K18" s="12">
        <f t="shared" si="0"/>
        <v>0.68859984697781174</v>
      </c>
      <c r="L18" s="441" t="s">
        <v>323</v>
      </c>
    </row>
    <row r="19" spans="1:12" ht="15.75" thickBot="1">
      <c r="A19" s="511" t="s">
        <v>19</v>
      </c>
      <c r="B19" s="535">
        <v>0</v>
      </c>
      <c r="C19" s="535">
        <v>0</v>
      </c>
      <c r="D19" s="535">
        <v>0</v>
      </c>
      <c r="E19" s="535">
        <v>0</v>
      </c>
      <c r="F19" s="535">
        <v>0</v>
      </c>
      <c r="G19" s="535">
        <v>0</v>
      </c>
      <c r="H19" s="535">
        <v>0</v>
      </c>
      <c r="I19" s="535">
        <v>0</v>
      </c>
      <c r="J19" s="8">
        <f t="shared" si="1"/>
        <v>0</v>
      </c>
      <c r="K19" s="287">
        <f t="shared" si="0"/>
        <v>0</v>
      </c>
      <c r="L19" s="536" t="s">
        <v>20</v>
      </c>
    </row>
    <row r="20" spans="1:12" ht="21" customHeight="1">
      <c r="A20" s="454" t="s">
        <v>354</v>
      </c>
      <c r="B20" s="444">
        <f t="shared" ref="B20:K20" si="2">SUM(B7:B19)</f>
        <v>32</v>
      </c>
      <c r="C20" s="444">
        <f t="shared" si="2"/>
        <v>17</v>
      </c>
      <c r="D20" s="444">
        <f t="shared" si="2"/>
        <v>58</v>
      </c>
      <c r="E20" s="444">
        <f t="shared" si="2"/>
        <v>155</v>
      </c>
      <c r="F20" s="444">
        <f t="shared" si="2"/>
        <v>645</v>
      </c>
      <c r="G20" s="444">
        <f t="shared" si="2"/>
        <v>32</v>
      </c>
      <c r="H20" s="444">
        <f t="shared" si="2"/>
        <v>365</v>
      </c>
      <c r="I20" s="444">
        <f>SUM(I7:I19)</f>
        <v>3</v>
      </c>
      <c r="J20" s="444">
        <f t="shared" si="2"/>
        <v>1307</v>
      </c>
      <c r="K20" s="455">
        <f t="shared" si="2"/>
        <v>99.999999999999986</v>
      </c>
      <c r="L20" s="456" t="s">
        <v>22</v>
      </c>
    </row>
    <row r="21" spans="1:12" ht="21" customHeight="1">
      <c r="A21" s="447" t="s">
        <v>353</v>
      </c>
      <c r="B21" s="415">
        <f t="shared" ref="B21:I21" si="3">B20/$J$20%</f>
        <v>2.4483550114766639</v>
      </c>
      <c r="C21" s="415">
        <f>C20/$J$20%</f>
        <v>1.3006885998469777</v>
      </c>
      <c r="D21" s="415">
        <f t="shared" si="3"/>
        <v>4.4376434583014532</v>
      </c>
      <c r="E21" s="415">
        <f t="shared" si="3"/>
        <v>11.859219586840091</v>
      </c>
      <c r="F21" s="415">
        <f t="shared" si="3"/>
        <v>49.349655700076511</v>
      </c>
      <c r="G21" s="415">
        <f t="shared" si="3"/>
        <v>2.4483550114766639</v>
      </c>
      <c r="H21" s="415">
        <f t="shared" si="3"/>
        <v>27.926549349655698</v>
      </c>
      <c r="I21" s="415">
        <f t="shared" si="3"/>
        <v>0.22953328232593725</v>
      </c>
      <c r="J21" s="415">
        <f>SUM(B21:I21)</f>
        <v>99.999999999999986</v>
      </c>
      <c r="K21" s="448"/>
      <c r="L21" s="449" t="s">
        <v>352</v>
      </c>
    </row>
  </sheetData>
  <mergeCells count="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rightToLeft="1" view="pageBreakPreview" topLeftCell="A7" zoomScale="85" zoomScaleNormal="75" zoomScaleSheetLayoutView="85" workbookViewId="0">
      <selection activeCell="B15" sqref="B15"/>
    </sheetView>
  </sheetViews>
  <sheetFormatPr defaultColWidth="9.140625" defaultRowHeight="12.75"/>
  <cols>
    <col min="1" max="1" width="23.140625" style="1" customWidth="1"/>
    <col min="2" max="2" width="12.140625" style="1" customWidth="1"/>
    <col min="3" max="3" width="11.7109375" style="1" customWidth="1"/>
    <col min="4" max="4" width="10.42578125" style="1" customWidth="1"/>
    <col min="5" max="5" width="6.85546875" style="1" customWidth="1"/>
    <col min="6" max="6" width="10.5703125" style="1" customWidth="1"/>
    <col min="7" max="7" width="10" style="1" customWidth="1"/>
    <col min="8" max="8" width="8.5703125" style="1" customWidth="1"/>
    <col min="9" max="9" width="7.85546875" style="1" customWidth="1"/>
    <col min="10" max="10" width="9" style="1" customWidth="1"/>
    <col min="11" max="11" width="9.28515625" style="1" customWidth="1"/>
    <col min="12" max="12" width="7.140625" style="1" customWidth="1"/>
    <col min="13" max="13" width="8.140625" style="1" customWidth="1"/>
    <col min="14" max="14" width="10" style="1" customWidth="1"/>
    <col min="15" max="15" width="27.85546875" style="1" customWidth="1"/>
    <col min="16" max="16384" width="9.140625" style="1"/>
  </cols>
  <sheetData>
    <row r="1" spans="1:15" s="2" customFormat="1" ht="18.75" customHeight="1">
      <c r="A1" s="1005" t="s">
        <v>584</v>
      </c>
      <c r="B1" s="1005"/>
      <c r="C1" s="1005"/>
      <c r="D1" s="1005"/>
      <c r="E1" s="1005"/>
      <c r="F1" s="1005"/>
      <c r="G1" s="1005"/>
      <c r="H1" s="1005"/>
      <c r="I1" s="1005"/>
      <c r="J1" s="1005"/>
      <c r="K1" s="1005"/>
      <c r="L1" s="1005"/>
      <c r="M1" s="1005"/>
      <c r="N1" s="1005"/>
      <c r="O1" s="1005"/>
    </row>
    <row r="2" spans="1:15" s="2" customFormat="1" ht="15.75">
      <c r="A2" s="1006" t="s">
        <v>1007</v>
      </c>
      <c r="B2" s="1006"/>
      <c r="C2" s="1006"/>
      <c r="D2" s="1006"/>
      <c r="E2" s="1006"/>
      <c r="F2" s="1006"/>
      <c r="G2" s="1006"/>
      <c r="H2" s="1006"/>
      <c r="I2" s="1006"/>
      <c r="J2" s="1006"/>
      <c r="K2" s="1006"/>
      <c r="L2" s="1006"/>
      <c r="M2" s="1006"/>
      <c r="N2" s="1006"/>
      <c r="O2" s="1006"/>
    </row>
    <row r="3" spans="1:15" s="2" customFormat="1" ht="15" customHeight="1">
      <c r="A3" s="1007">
        <v>2015</v>
      </c>
      <c r="B3" s="1007"/>
      <c r="C3" s="1007"/>
      <c r="D3" s="1007"/>
      <c r="E3" s="1007"/>
      <c r="F3" s="1007"/>
      <c r="G3" s="1007"/>
      <c r="H3" s="1007"/>
      <c r="I3" s="1007"/>
      <c r="J3" s="1007"/>
      <c r="K3" s="1007"/>
      <c r="L3" s="1007"/>
      <c r="M3" s="1007"/>
      <c r="N3" s="1007"/>
      <c r="O3" s="1007"/>
    </row>
    <row r="4" spans="1:15" s="2" customFormat="1" ht="15.75">
      <c r="A4" s="1008" t="s">
        <v>173</v>
      </c>
      <c r="B4" s="1008"/>
      <c r="C4" s="1008"/>
      <c r="D4" s="1008"/>
      <c r="E4" s="1008"/>
      <c r="F4" s="1008"/>
      <c r="G4" s="1008"/>
      <c r="H4" s="1008"/>
      <c r="I4" s="1008"/>
      <c r="J4" s="1008"/>
      <c r="K4" s="1008"/>
      <c r="L4" s="1008"/>
      <c r="M4" s="1008"/>
      <c r="N4" s="1008"/>
      <c r="O4" s="1008"/>
    </row>
    <row r="5" spans="1:15" s="2" customFormat="1" ht="15.75">
      <c r="A5" s="651"/>
      <c r="B5" s="651"/>
      <c r="C5" s="651"/>
      <c r="D5" s="651"/>
      <c r="E5" s="651"/>
      <c r="F5" s="651"/>
      <c r="G5" s="651"/>
      <c r="H5" s="651"/>
      <c r="I5" s="651"/>
      <c r="J5" s="651"/>
      <c r="K5" s="651"/>
      <c r="L5" s="651"/>
      <c r="M5" s="651"/>
      <c r="N5" s="651"/>
      <c r="O5" s="651"/>
    </row>
    <row r="6" spans="1:15" ht="15.75">
      <c r="A6" s="648" t="s">
        <v>635</v>
      </c>
      <c r="B6" s="652"/>
      <c r="C6" s="652"/>
      <c r="D6" s="652"/>
      <c r="E6" s="652"/>
      <c r="F6" s="652"/>
      <c r="G6" s="652"/>
      <c r="H6" s="652"/>
      <c r="I6" s="652"/>
      <c r="J6" s="652"/>
      <c r="K6" s="652"/>
      <c r="L6" s="652"/>
      <c r="M6" s="652"/>
      <c r="N6" s="652"/>
      <c r="O6" s="650" t="s">
        <v>636</v>
      </c>
    </row>
    <row r="7" spans="1:15" ht="30" customHeight="1" thickBot="1">
      <c r="A7" s="985" t="s">
        <v>426</v>
      </c>
      <c r="B7" s="1003" t="s">
        <v>425</v>
      </c>
      <c r="C7" s="1003"/>
      <c r="D7" s="1003"/>
      <c r="E7" s="1003"/>
      <c r="F7" s="1003"/>
      <c r="G7" s="1003"/>
      <c r="H7" s="1003"/>
      <c r="I7" s="1003"/>
      <c r="J7" s="1003"/>
      <c r="K7" s="1003"/>
      <c r="L7" s="1003"/>
      <c r="M7" s="1003"/>
      <c r="N7" s="1003"/>
      <c r="O7" s="997" t="s">
        <v>424</v>
      </c>
    </row>
    <row r="8" spans="1:15" ht="79.5" customHeight="1" thickBot="1">
      <c r="A8" s="1002"/>
      <c r="B8" s="587" t="s">
        <v>412</v>
      </c>
      <c r="C8" s="587" t="s">
        <v>411</v>
      </c>
      <c r="D8" s="587" t="s">
        <v>410</v>
      </c>
      <c r="E8" s="587" t="s">
        <v>409</v>
      </c>
      <c r="F8" s="588" t="s">
        <v>408</v>
      </c>
      <c r="G8" s="588" t="s">
        <v>407</v>
      </c>
      <c r="H8" s="588" t="s">
        <v>406</v>
      </c>
      <c r="I8" s="588" t="s">
        <v>405</v>
      </c>
      <c r="J8" s="588" t="s">
        <v>404</v>
      </c>
      <c r="K8" s="588" t="s">
        <v>403</v>
      </c>
      <c r="L8" s="589" t="s">
        <v>21</v>
      </c>
      <c r="M8" s="588" t="s">
        <v>401</v>
      </c>
      <c r="N8" s="587" t="s">
        <v>423</v>
      </c>
      <c r="O8" s="1004"/>
    </row>
    <row r="9" spans="1:15" ht="69" customHeight="1">
      <c r="A9" s="986"/>
      <c r="B9" s="836" t="s">
        <v>422</v>
      </c>
      <c r="C9" s="836" t="s">
        <v>421</v>
      </c>
      <c r="D9" s="836" t="s">
        <v>420</v>
      </c>
      <c r="E9" s="836" t="s">
        <v>419</v>
      </c>
      <c r="F9" s="837" t="s">
        <v>418</v>
      </c>
      <c r="G9" s="837" t="s">
        <v>417</v>
      </c>
      <c r="H9" s="837" t="s">
        <v>416</v>
      </c>
      <c r="I9" s="837" t="s">
        <v>415</v>
      </c>
      <c r="J9" s="837" t="s">
        <v>414</v>
      </c>
      <c r="K9" s="837" t="s">
        <v>402</v>
      </c>
      <c r="L9" s="838" t="s">
        <v>176</v>
      </c>
      <c r="M9" s="837" t="s">
        <v>400</v>
      </c>
      <c r="N9" s="839" t="s">
        <v>413</v>
      </c>
      <c r="O9" s="1037"/>
    </row>
    <row r="10" spans="1:15" ht="38.25">
      <c r="A10" s="843" t="s">
        <v>412</v>
      </c>
      <c r="B10" s="844">
        <v>0</v>
      </c>
      <c r="C10" s="844">
        <v>4</v>
      </c>
      <c r="D10" s="844">
        <v>8</v>
      </c>
      <c r="E10" s="844">
        <v>13</v>
      </c>
      <c r="F10" s="844">
        <v>0</v>
      </c>
      <c r="G10" s="844">
        <v>0</v>
      </c>
      <c r="H10" s="844">
        <v>0</v>
      </c>
      <c r="I10" s="844">
        <v>0</v>
      </c>
      <c r="J10" s="844">
        <v>0</v>
      </c>
      <c r="K10" s="844">
        <v>0</v>
      </c>
      <c r="L10" s="845">
        <f>SUM(B10:K10)</f>
        <v>25</v>
      </c>
      <c r="M10" s="844">
        <v>27</v>
      </c>
      <c r="N10" s="845">
        <f>Table_Default__XLS_TAB_38_1[[#This Row],[NO_OCCUP]]+Table_Default__XLS_TAB_38_1[[#This Row],[TOTAL]]</f>
        <v>52</v>
      </c>
      <c r="O10" s="846" t="s">
        <v>422</v>
      </c>
    </row>
    <row r="11" spans="1:15" ht="21.95" customHeight="1">
      <c r="A11" s="320" t="s">
        <v>411</v>
      </c>
      <c r="B11" s="465">
        <v>0</v>
      </c>
      <c r="C11" s="465">
        <v>3</v>
      </c>
      <c r="D11" s="465">
        <v>3</v>
      </c>
      <c r="E11" s="465">
        <v>1</v>
      </c>
      <c r="F11" s="465">
        <v>0</v>
      </c>
      <c r="G11" s="465">
        <v>0</v>
      </c>
      <c r="H11" s="465">
        <v>0</v>
      </c>
      <c r="I11" s="465">
        <v>0</v>
      </c>
      <c r="J11" s="465">
        <v>0</v>
      </c>
      <c r="K11" s="465">
        <v>0</v>
      </c>
      <c r="L11" s="661">
        <f t="shared" ref="L11:L19" si="0">SUM(B11:K11)</f>
        <v>7</v>
      </c>
      <c r="M11" s="465">
        <v>21</v>
      </c>
      <c r="N11" s="661">
        <f>Table_Default__XLS_TAB_38_1[[#This Row],[NO_OCCUP]]+Table_Default__XLS_TAB_38_1[[#This Row],[TOTAL]]</f>
        <v>28</v>
      </c>
      <c r="O11" s="317" t="s">
        <v>421</v>
      </c>
    </row>
    <row r="12" spans="1:15" ht="38.25">
      <c r="A12" s="320" t="s">
        <v>410</v>
      </c>
      <c r="B12" s="465">
        <v>0</v>
      </c>
      <c r="C12" s="465">
        <v>5</v>
      </c>
      <c r="D12" s="465">
        <v>19</v>
      </c>
      <c r="E12" s="465">
        <v>30</v>
      </c>
      <c r="F12" s="465">
        <v>1</v>
      </c>
      <c r="G12" s="465">
        <v>0</v>
      </c>
      <c r="H12" s="465">
        <v>0</v>
      </c>
      <c r="I12" s="465">
        <v>0</v>
      </c>
      <c r="J12" s="465">
        <v>0</v>
      </c>
      <c r="K12" s="465">
        <v>0</v>
      </c>
      <c r="L12" s="661">
        <f t="shared" si="0"/>
        <v>55</v>
      </c>
      <c r="M12" s="465">
        <v>86</v>
      </c>
      <c r="N12" s="661">
        <f>Table_Default__XLS_TAB_38_1[[#This Row],[NO_OCCUP]]+Table_Default__XLS_TAB_38_1[[#This Row],[TOTAL]]</f>
        <v>141</v>
      </c>
      <c r="O12" s="317" t="s">
        <v>420</v>
      </c>
    </row>
    <row r="13" spans="1:15" ht="21.95" customHeight="1">
      <c r="A13" s="320" t="s">
        <v>409</v>
      </c>
      <c r="B13" s="465">
        <v>0</v>
      </c>
      <c r="C13" s="465">
        <v>17</v>
      </c>
      <c r="D13" s="465">
        <v>37</v>
      </c>
      <c r="E13" s="465">
        <v>92</v>
      </c>
      <c r="F13" s="465">
        <v>2</v>
      </c>
      <c r="G13" s="465">
        <v>0</v>
      </c>
      <c r="H13" s="465">
        <v>0</v>
      </c>
      <c r="I13" s="465">
        <v>0</v>
      </c>
      <c r="J13" s="465">
        <v>1</v>
      </c>
      <c r="K13" s="465">
        <v>0</v>
      </c>
      <c r="L13" s="661">
        <f t="shared" si="0"/>
        <v>149</v>
      </c>
      <c r="M13" s="465">
        <v>219</v>
      </c>
      <c r="N13" s="661">
        <f>Table_Default__XLS_TAB_38_1[[#This Row],[NO_OCCUP]]+Table_Default__XLS_TAB_38_1[[#This Row],[TOTAL]]</f>
        <v>368</v>
      </c>
      <c r="O13" s="317" t="s">
        <v>419</v>
      </c>
    </row>
    <row r="14" spans="1:15" ht="45">
      <c r="A14" s="320" t="s">
        <v>408</v>
      </c>
      <c r="B14" s="465">
        <v>0</v>
      </c>
      <c r="C14" s="465">
        <v>1</v>
      </c>
      <c r="D14" s="465">
        <v>4</v>
      </c>
      <c r="E14" s="465">
        <v>16</v>
      </c>
      <c r="F14" s="465">
        <v>0</v>
      </c>
      <c r="G14" s="465">
        <v>0</v>
      </c>
      <c r="H14" s="465">
        <v>0</v>
      </c>
      <c r="I14" s="465">
        <v>0</v>
      </c>
      <c r="J14" s="465">
        <v>0</v>
      </c>
      <c r="K14" s="465">
        <v>0</v>
      </c>
      <c r="L14" s="661">
        <f t="shared" si="0"/>
        <v>21</v>
      </c>
      <c r="M14" s="465">
        <v>54</v>
      </c>
      <c r="N14" s="661">
        <f>Table_Default__XLS_TAB_38_1[[#This Row],[NO_OCCUP]]+Table_Default__XLS_TAB_38_1[[#This Row],[TOTAL]]</f>
        <v>75</v>
      </c>
      <c r="O14" s="317" t="s">
        <v>752</v>
      </c>
    </row>
    <row r="15" spans="1:15" ht="30">
      <c r="A15" s="320" t="s">
        <v>407</v>
      </c>
      <c r="B15" s="465">
        <v>0</v>
      </c>
      <c r="C15" s="465">
        <v>0</v>
      </c>
      <c r="D15" s="465">
        <v>0</v>
      </c>
      <c r="E15" s="465">
        <v>0</v>
      </c>
      <c r="F15" s="465">
        <v>0</v>
      </c>
      <c r="G15" s="465">
        <v>0</v>
      </c>
      <c r="H15" s="465">
        <v>0</v>
      </c>
      <c r="I15" s="465">
        <v>0</v>
      </c>
      <c r="J15" s="465">
        <v>0</v>
      </c>
      <c r="K15" s="465">
        <v>0</v>
      </c>
      <c r="L15" s="661">
        <f t="shared" si="0"/>
        <v>0</v>
      </c>
      <c r="M15" s="465">
        <v>0</v>
      </c>
      <c r="N15" s="661">
        <f>Table_Default__XLS_TAB_38_1[[#This Row],[NO_OCCUP]]+Table_Default__XLS_TAB_38_1[[#This Row],[TOTAL]]</f>
        <v>0</v>
      </c>
      <c r="O15" s="317" t="s">
        <v>417</v>
      </c>
    </row>
    <row r="16" spans="1:15" ht="30">
      <c r="A16" s="320" t="s">
        <v>406</v>
      </c>
      <c r="B16" s="465">
        <v>0</v>
      </c>
      <c r="C16" s="465">
        <v>0</v>
      </c>
      <c r="D16" s="465">
        <v>0</v>
      </c>
      <c r="E16" s="465">
        <v>0</v>
      </c>
      <c r="F16" s="465">
        <v>0</v>
      </c>
      <c r="G16" s="465">
        <v>0</v>
      </c>
      <c r="H16" s="465">
        <v>0</v>
      </c>
      <c r="I16" s="465">
        <v>0</v>
      </c>
      <c r="J16" s="465">
        <v>0</v>
      </c>
      <c r="K16" s="465">
        <v>0</v>
      </c>
      <c r="L16" s="661">
        <f t="shared" si="0"/>
        <v>0</v>
      </c>
      <c r="M16" s="465">
        <v>0</v>
      </c>
      <c r="N16" s="661">
        <f>Table_Default__XLS_TAB_38_1[[#This Row],[NO_OCCUP]]+Table_Default__XLS_TAB_38_1[[#This Row],[TOTAL]]</f>
        <v>0</v>
      </c>
      <c r="O16" s="317" t="s">
        <v>416</v>
      </c>
    </row>
    <row r="17" spans="1:15" ht="38.25">
      <c r="A17" s="320" t="s">
        <v>405</v>
      </c>
      <c r="B17" s="465">
        <v>0</v>
      </c>
      <c r="C17" s="465">
        <v>0</v>
      </c>
      <c r="D17" s="465">
        <v>0</v>
      </c>
      <c r="E17" s="465">
        <v>0</v>
      </c>
      <c r="F17" s="465">
        <v>0</v>
      </c>
      <c r="G17" s="465">
        <v>0</v>
      </c>
      <c r="H17" s="465">
        <v>0</v>
      </c>
      <c r="I17" s="465">
        <v>0</v>
      </c>
      <c r="J17" s="465">
        <v>0</v>
      </c>
      <c r="K17" s="465">
        <v>0</v>
      </c>
      <c r="L17" s="661">
        <f t="shared" si="0"/>
        <v>0</v>
      </c>
      <c r="M17" s="465">
        <v>0</v>
      </c>
      <c r="N17" s="661">
        <f>Table_Default__XLS_TAB_38_1[[#This Row],[NO_OCCUP]]+Table_Default__XLS_TAB_38_1[[#This Row],[TOTAL]]</f>
        <v>0</v>
      </c>
      <c r="O17" s="317" t="s">
        <v>415</v>
      </c>
    </row>
    <row r="18" spans="1:15" ht="21.95" customHeight="1">
      <c r="A18" s="320" t="s">
        <v>404</v>
      </c>
      <c r="B18" s="465">
        <v>0</v>
      </c>
      <c r="C18" s="465">
        <v>1</v>
      </c>
      <c r="D18" s="465">
        <v>0</v>
      </c>
      <c r="E18" s="465">
        <v>11</v>
      </c>
      <c r="F18" s="465">
        <v>2</v>
      </c>
      <c r="G18" s="465">
        <v>0</v>
      </c>
      <c r="H18" s="465">
        <v>0</v>
      </c>
      <c r="I18" s="465">
        <v>0</v>
      </c>
      <c r="J18" s="465">
        <v>0</v>
      </c>
      <c r="K18" s="465">
        <v>0</v>
      </c>
      <c r="L18" s="661">
        <f t="shared" si="0"/>
        <v>14</v>
      </c>
      <c r="M18" s="465">
        <v>32</v>
      </c>
      <c r="N18" s="661">
        <f>Table_Default__XLS_TAB_38_1[[#This Row],[NO_OCCUP]]+Table_Default__XLS_TAB_38_1[[#This Row],[TOTAL]]</f>
        <v>46</v>
      </c>
      <c r="O18" s="317" t="s">
        <v>414</v>
      </c>
    </row>
    <row r="19" spans="1:15" ht="30">
      <c r="A19" s="840" t="s">
        <v>403</v>
      </c>
      <c r="B19" s="841">
        <v>0</v>
      </c>
      <c r="C19" s="841">
        <v>0</v>
      </c>
      <c r="D19" s="841">
        <v>0</v>
      </c>
      <c r="E19" s="841">
        <v>0</v>
      </c>
      <c r="F19" s="841">
        <v>0</v>
      </c>
      <c r="G19" s="841">
        <v>0</v>
      </c>
      <c r="H19" s="841">
        <v>0</v>
      </c>
      <c r="I19" s="841">
        <v>0</v>
      </c>
      <c r="J19" s="841">
        <v>0</v>
      </c>
      <c r="K19" s="841">
        <v>0</v>
      </c>
      <c r="L19" s="660">
        <f t="shared" si="0"/>
        <v>0</v>
      </c>
      <c r="M19" s="841">
        <v>0</v>
      </c>
      <c r="N19" s="660">
        <f>Table_Default__XLS_TAB_38_1[[#This Row],[NO_OCCUP]]+Table_Default__XLS_TAB_38_1[[#This Row],[TOTAL]]</f>
        <v>0</v>
      </c>
      <c r="O19" s="842" t="s">
        <v>402</v>
      </c>
    </row>
    <row r="20" spans="1:15" ht="30.75" customHeight="1">
      <c r="A20" s="840" t="s">
        <v>21</v>
      </c>
      <c r="B20" s="841">
        <f>SUM(B10:B19)</f>
        <v>0</v>
      </c>
      <c r="C20" s="841">
        <f t="shared" ref="C20:N20" si="1">SUM(C10:C19)</f>
        <v>31</v>
      </c>
      <c r="D20" s="841">
        <f t="shared" si="1"/>
        <v>71</v>
      </c>
      <c r="E20" s="841">
        <f t="shared" si="1"/>
        <v>163</v>
      </c>
      <c r="F20" s="841">
        <f t="shared" si="1"/>
        <v>5</v>
      </c>
      <c r="G20" s="841">
        <f t="shared" si="1"/>
        <v>0</v>
      </c>
      <c r="H20" s="841">
        <f t="shared" si="1"/>
        <v>0</v>
      </c>
      <c r="I20" s="841">
        <f t="shared" si="1"/>
        <v>0</v>
      </c>
      <c r="J20" s="841">
        <f t="shared" si="1"/>
        <v>1</v>
      </c>
      <c r="K20" s="841">
        <f t="shared" si="1"/>
        <v>0</v>
      </c>
      <c r="L20" s="841">
        <f t="shared" si="1"/>
        <v>271</v>
      </c>
      <c r="M20" s="841">
        <f t="shared" si="1"/>
        <v>439</v>
      </c>
      <c r="N20" s="841">
        <f t="shared" si="1"/>
        <v>710</v>
      </c>
      <c r="O20" s="842" t="s">
        <v>176</v>
      </c>
    </row>
    <row r="21" spans="1:15" ht="21.95" customHeight="1">
      <c r="A21" s="320" t="s">
        <v>401</v>
      </c>
      <c r="B21" s="465">
        <v>0</v>
      </c>
      <c r="C21" s="465">
        <v>4</v>
      </c>
      <c r="D21" s="465">
        <v>9</v>
      </c>
      <c r="E21" s="465">
        <v>10</v>
      </c>
      <c r="F21" s="465">
        <v>0</v>
      </c>
      <c r="G21" s="465">
        <v>0</v>
      </c>
      <c r="H21" s="465">
        <v>0</v>
      </c>
      <c r="I21" s="465">
        <v>0</v>
      </c>
      <c r="J21" s="465">
        <v>0</v>
      </c>
      <c r="K21" s="465">
        <v>0</v>
      </c>
      <c r="L21" s="661">
        <f>Table_Default__XLS_TAB_38_1[[#This Row],[NOT_KNOWN_CNT]]+Table_Default__XLS_TAB_38_1[[#This Row],[ELEMENTARY_OCCUPATIONS_CNT]]+Table_Default__XLS_TAB_38_1[[#This Row],[PLANT_CNT]]+Table_Default__XLS_TAB_38_1[[#This Row],[CRAFT_CNT]]+Table_Default__XLS_TAB_38_1[[#This Row],[SKILLED_AGRICULTURAL_CNT]]+Table_Default__XLS_TAB_38_1[[#This Row],[SERVICE_WORKERS_CNT]]+Table_Default__XLS_TAB_38_1[[#This Row],[CLERKS_CNT]]+Table_Default__XLS_TAB_38_1[[#This Row],[TECHNICIANS_CNT]]+Table_Default__XLS_TAB_38_1[[#This Row],[PROFESSIONALS_CNT]]+Table_Default__XLS_TAB_38_1[[#This Row],[LEGISLATORS_CNT]]</f>
        <v>23</v>
      </c>
      <c r="M21" s="465">
        <v>74</v>
      </c>
      <c r="N21" s="466">
        <v>97</v>
      </c>
      <c r="O21" s="317" t="s">
        <v>400</v>
      </c>
    </row>
    <row r="22" spans="1:15" ht="27" customHeight="1">
      <c r="A22" s="178" t="s">
        <v>399</v>
      </c>
      <c r="B22" s="660">
        <f>B20+B21</f>
        <v>0</v>
      </c>
      <c r="C22" s="660">
        <f t="shared" ref="C22:I22" si="2">C20+C21</f>
        <v>35</v>
      </c>
      <c r="D22" s="660">
        <f t="shared" si="2"/>
        <v>80</v>
      </c>
      <c r="E22" s="660">
        <f t="shared" si="2"/>
        <v>173</v>
      </c>
      <c r="F22" s="660">
        <f t="shared" si="2"/>
        <v>5</v>
      </c>
      <c r="G22" s="660">
        <f t="shared" si="2"/>
        <v>0</v>
      </c>
      <c r="H22" s="660">
        <f t="shared" si="2"/>
        <v>0</v>
      </c>
      <c r="I22" s="660">
        <f t="shared" si="2"/>
        <v>0</v>
      </c>
      <c r="J22" s="660">
        <f>J20+J21</f>
        <v>1</v>
      </c>
      <c r="K22" s="660">
        <f>K20+K21</f>
        <v>0</v>
      </c>
      <c r="L22" s="660">
        <f>L20+L21</f>
        <v>294</v>
      </c>
      <c r="M22" s="660">
        <f>M20+M21</f>
        <v>513</v>
      </c>
      <c r="N22" s="660">
        <f>N20+N21</f>
        <v>807</v>
      </c>
      <c r="O22" s="179" t="s">
        <v>398</v>
      </c>
    </row>
    <row r="23" spans="1:15">
      <c r="A23" s="135" t="s">
        <v>397</v>
      </c>
      <c r="B23" s="1">
        <f>SUM(B10:B20)</f>
        <v>0</v>
      </c>
      <c r="O23" s="134" t="s">
        <v>396</v>
      </c>
    </row>
  </sheetData>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80" orientation="landscape" r:id="rId1"/>
  <headerFooter alignWithMargins="0"/>
  <drawing r:id="rId2"/>
  <tableParts count="1">
    <tablePart r:id="rId3"/>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rightToLeft="1" view="pageBreakPreview" zoomScale="85" zoomScaleNormal="75" zoomScaleSheetLayoutView="85" workbookViewId="0">
      <selection activeCell="D15" sqref="D15"/>
    </sheetView>
  </sheetViews>
  <sheetFormatPr defaultColWidth="9.140625" defaultRowHeight="12.75"/>
  <cols>
    <col min="1" max="1" width="23.140625" style="1" customWidth="1"/>
    <col min="2" max="2" width="12.140625" style="1" customWidth="1"/>
    <col min="3" max="3" width="11.7109375" style="1" customWidth="1"/>
    <col min="4" max="4" width="10.42578125" style="1" customWidth="1"/>
    <col min="5" max="5" width="6.85546875" style="1" customWidth="1"/>
    <col min="6" max="6" width="10.5703125" style="1" customWidth="1"/>
    <col min="7" max="7" width="10" style="1" customWidth="1"/>
    <col min="8" max="8" width="8.5703125" style="1" customWidth="1"/>
    <col min="9" max="9" width="7.85546875" style="1" customWidth="1"/>
    <col min="10" max="10" width="9" style="1" customWidth="1"/>
    <col min="11" max="11" width="9.28515625" style="1" customWidth="1"/>
    <col min="12" max="12" width="7.140625" style="1" customWidth="1"/>
    <col min="13" max="13" width="8.140625" style="1" customWidth="1"/>
    <col min="14" max="14" width="10" style="1" customWidth="1"/>
    <col min="15" max="15" width="27.85546875" style="1" customWidth="1"/>
    <col min="16" max="16384" width="9.140625" style="1"/>
  </cols>
  <sheetData>
    <row r="1" spans="1:15" s="2" customFormat="1" ht="18.75" customHeight="1">
      <c r="A1" s="1005" t="s">
        <v>584</v>
      </c>
      <c r="B1" s="1005"/>
      <c r="C1" s="1005"/>
      <c r="D1" s="1005"/>
      <c r="E1" s="1005"/>
      <c r="F1" s="1005"/>
      <c r="G1" s="1005"/>
      <c r="H1" s="1005"/>
      <c r="I1" s="1005"/>
      <c r="J1" s="1005"/>
      <c r="K1" s="1005"/>
      <c r="L1" s="1005"/>
      <c r="M1" s="1005"/>
      <c r="N1" s="1005"/>
      <c r="O1" s="1005"/>
    </row>
    <row r="2" spans="1:15" s="2" customFormat="1" ht="15.75">
      <c r="A2" s="1006" t="s">
        <v>1008</v>
      </c>
      <c r="B2" s="1006"/>
      <c r="C2" s="1006"/>
      <c r="D2" s="1006"/>
      <c r="E2" s="1006"/>
      <c r="F2" s="1006"/>
      <c r="G2" s="1006"/>
      <c r="H2" s="1006"/>
      <c r="I2" s="1006"/>
      <c r="J2" s="1006"/>
      <c r="K2" s="1006"/>
      <c r="L2" s="1006"/>
      <c r="M2" s="1006"/>
      <c r="N2" s="1006"/>
      <c r="O2" s="1006"/>
    </row>
    <row r="3" spans="1:15" s="2" customFormat="1" ht="15" customHeight="1">
      <c r="A3" s="1007">
        <v>2015</v>
      </c>
      <c r="B3" s="1007"/>
      <c r="C3" s="1007"/>
      <c r="D3" s="1007"/>
      <c r="E3" s="1007"/>
      <c r="F3" s="1007"/>
      <c r="G3" s="1007"/>
      <c r="H3" s="1007"/>
      <c r="I3" s="1007"/>
      <c r="J3" s="1007"/>
      <c r="K3" s="1007"/>
      <c r="L3" s="1007"/>
      <c r="M3" s="1007"/>
      <c r="N3" s="1007"/>
      <c r="O3" s="1007"/>
    </row>
    <row r="4" spans="1:15" s="2" customFormat="1" ht="15.75">
      <c r="A4" s="1008" t="s">
        <v>172</v>
      </c>
      <c r="B4" s="1008"/>
      <c r="C4" s="1008"/>
      <c r="D4" s="1008"/>
      <c r="E4" s="1008"/>
      <c r="F4" s="1008"/>
      <c r="G4" s="1008"/>
      <c r="H4" s="1008"/>
      <c r="I4" s="1008"/>
      <c r="J4" s="1008"/>
      <c r="K4" s="1008"/>
      <c r="L4" s="1008"/>
      <c r="M4" s="1008"/>
      <c r="N4" s="1008"/>
      <c r="O4" s="1008"/>
    </row>
    <row r="5" spans="1:15" s="2" customFormat="1" ht="15.75">
      <c r="A5" s="651"/>
      <c r="B5" s="651"/>
      <c r="C5" s="651"/>
      <c r="D5" s="651"/>
      <c r="E5" s="651"/>
      <c r="F5" s="651"/>
      <c r="G5" s="651"/>
      <c r="H5" s="651"/>
      <c r="I5" s="651"/>
      <c r="J5" s="651"/>
      <c r="K5" s="651"/>
      <c r="L5" s="651"/>
      <c r="M5" s="651"/>
      <c r="N5" s="651"/>
      <c r="O5" s="651"/>
    </row>
    <row r="6" spans="1:15" ht="15.75">
      <c r="A6" s="648" t="s">
        <v>639</v>
      </c>
      <c r="B6" s="652"/>
      <c r="C6" s="652"/>
      <c r="D6" s="652"/>
      <c r="E6" s="652"/>
      <c r="F6" s="652"/>
      <c r="G6" s="652"/>
      <c r="H6" s="652"/>
      <c r="I6" s="652"/>
      <c r="J6" s="652"/>
      <c r="K6" s="652"/>
      <c r="L6" s="652"/>
      <c r="M6" s="652"/>
      <c r="N6" s="652"/>
      <c r="O6" s="650" t="s">
        <v>640</v>
      </c>
    </row>
    <row r="7" spans="1:15" ht="30" customHeight="1" thickBot="1">
      <c r="A7" s="985" t="s">
        <v>426</v>
      </c>
      <c r="B7" s="1003" t="s">
        <v>425</v>
      </c>
      <c r="C7" s="1003"/>
      <c r="D7" s="1003"/>
      <c r="E7" s="1003"/>
      <c r="F7" s="1003"/>
      <c r="G7" s="1003"/>
      <c r="H7" s="1003"/>
      <c r="I7" s="1003"/>
      <c r="J7" s="1003"/>
      <c r="K7" s="1003"/>
      <c r="L7" s="1003"/>
      <c r="M7" s="1003"/>
      <c r="N7" s="1003"/>
      <c r="O7" s="997" t="s">
        <v>424</v>
      </c>
    </row>
    <row r="8" spans="1:15" ht="79.5" customHeight="1" thickBot="1">
      <c r="A8" s="1002"/>
      <c r="B8" s="587" t="s">
        <v>412</v>
      </c>
      <c r="C8" s="587" t="s">
        <v>411</v>
      </c>
      <c r="D8" s="587" t="s">
        <v>410</v>
      </c>
      <c r="E8" s="587" t="s">
        <v>409</v>
      </c>
      <c r="F8" s="588" t="s">
        <v>408</v>
      </c>
      <c r="G8" s="588" t="s">
        <v>407</v>
      </c>
      <c r="H8" s="588" t="s">
        <v>406</v>
      </c>
      <c r="I8" s="588" t="s">
        <v>405</v>
      </c>
      <c r="J8" s="588" t="s">
        <v>404</v>
      </c>
      <c r="K8" s="588" t="s">
        <v>403</v>
      </c>
      <c r="L8" s="589" t="s">
        <v>21</v>
      </c>
      <c r="M8" s="588" t="s">
        <v>401</v>
      </c>
      <c r="N8" s="587" t="s">
        <v>423</v>
      </c>
      <c r="O8" s="1004"/>
    </row>
    <row r="9" spans="1:15" ht="69" customHeight="1">
      <c r="A9" s="986"/>
      <c r="B9" s="836" t="s">
        <v>422</v>
      </c>
      <c r="C9" s="836" t="s">
        <v>421</v>
      </c>
      <c r="D9" s="836" t="s">
        <v>420</v>
      </c>
      <c r="E9" s="836" t="s">
        <v>419</v>
      </c>
      <c r="F9" s="837" t="s">
        <v>418</v>
      </c>
      <c r="G9" s="837" t="s">
        <v>417</v>
      </c>
      <c r="H9" s="837" t="s">
        <v>416</v>
      </c>
      <c r="I9" s="837" t="s">
        <v>415</v>
      </c>
      <c r="J9" s="837" t="s">
        <v>414</v>
      </c>
      <c r="K9" s="837" t="s">
        <v>402</v>
      </c>
      <c r="L9" s="838" t="s">
        <v>176</v>
      </c>
      <c r="M9" s="837" t="s">
        <v>400</v>
      </c>
      <c r="N9" s="839" t="s">
        <v>413</v>
      </c>
      <c r="O9" s="1037"/>
    </row>
    <row r="10" spans="1:15" ht="38.25">
      <c r="A10" s="843" t="s">
        <v>412</v>
      </c>
      <c r="B10" s="844">
        <v>1</v>
      </c>
      <c r="C10" s="844">
        <v>2</v>
      </c>
      <c r="D10" s="844">
        <v>3</v>
      </c>
      <c r="E10" s="844">
        <v>5</v>
      </c>
      <c r="F10" s="844">
        <v>4</v>
      </c>
      <c r="G10" s="844">
        <v>0</v>
      </c>
      <c r="H10" s="844">
        <v>0</v>
      </c>
      <c r="I10" s="844">
        <v>0</v>
      </c>
      <c r="J10" s="844">
        <v>1</v>
      </c>
      <c r="K10" s="844">
        <v>0</v>
      </c>
      <c r="L10" s="845">
        <f>SUM(B10:K10)</f>
        <v>16</v>
      </c>
      <c r="M10" s="844">
        <v>17</v>
      </c>
      <c r="N10" s="845">
        <f>Table_Default__XLS_TAB_38_2[[#This Row],[TOTAL]]+Table_Default__XLS_TAB_38_2[[#This Row],[NO_OCCUP]]</f>
        <v>33</v>
      </c>
      <c r="O10" s="846" t="s">
        <v>422</v>
      </c>
    </row>
    <row r="11" spans="1:15" ht="21.95" customHeight="1">
      <c r="A11" s="320" t="s">
        <v>411</v>
      </c>
      <c r="B11" s="465">
        <v>4</v>
      </c>
      <c r="C11" s="465">
        <v>16</v>
      </c>
      <c r="D11" s="465">
        <v>14</v>
      </c>
      <c r="E11" s="465">
        <v>10</v>
      </c>
      <c r="F11" s="465">
        <v>5</v>
      </c>
      <c r="G11" s="465">
        <v>0</v>
      </c>
      <c r="H11" s="465">
        <v>0</v>
      </c>
      <c r="I11" s="465">
        <v>0</v>
      </c>
      <c r="J11" s="465">
        <v>0</v>
      </c>
      <c r="K11" s="465">
        <v>0</v>
      </c>
      <c r="L11" s="661">
        <f t="shared" ref="L11:L19" si="0">SUM(B11:K11)</f>
        <v>49</v>
      </c>
      <c r="M11" s="465">
        <v>41</v>
      </c>
      <c r="N11" s="661">
        <f>Table_Default__XLS_TAB_38_2[[#This Row],[TOTAL]]+Table_Default__XLS_TAB_38_2[[#This Row],[NO_OCCUP]]</f>
        <v>90</v>
      </c>
      <c r="O11" s="317" t="s">
        <v>421</v>
      </c>
    </row>
    <row r="12" spans="1:15" ht="38.25">
      <c r="A12" s="320" t="s">
        <v>410</v>
      </c>
      <c r="B12" s="465">
        <v>0</v>
      </c>
      <c r="C12" s="465">
        <v>16</v>
      </c>
      <c r="D12" s="465">
        <v>30</v>
      </c>
      <c r="E12" s="465">
        <v>17</v>
      </c>
      <c r="F12" s="465">
        <v>6</v>
      </c>
      <c r="G12" s="465">
        <v>0</v>
      </c>
      <c r="H12" s="465">
        <v>1</v>
      </c>
      <c r="I12" s="465">
        <v>0</v>
      </c>
      <c r="J12" s="465">
        <v>1</v>
      </c>
      <c r="K12" s="465">
        <v>0</v>
      </c>
      <c r="L12" s="661">
        <f t="shared" si="0"/>
        <v>71</v>
      </c>
      <c r="M12" s="465">
        <v>63</v>
      </c>
      <c r="N12" s="661">
        <f>Table_Default__XLS_TAB_38_2[[#This Row],[TOTAL]]+Table_Default__XLS_TAB_38_2[[#This Row],[NO_OCCUP]]</f>
        <v>134</v>
      </c>
      <c r="O12" s="317" t="s">
        <v>420</v>
      </c>
    </row>
    <row r="13" spans="1:15" ht="21.95" customHeight="1">
      <c r="A13" s="320" t="s">
        <v>409</v>
      </c>
      <c r="B13" s="465">
        <v>1</v>
      </c>
      <c r="C13" s="465">
        <v>10</v>
      </c>
      <c r="D13" s="465">
        <v>9</v>
      </c>
      <c r="E13" s="465">
        <v>26</v>
      </c>
      <c r="F13" s="465">
        <v>5</v>
      </c>
      <c r="G13" s="465">
        <v>0</v>
      </c>
      <c r="H13" s="465">
        <v>1</v>
      </c>
      <c r="I13" s="465">
        <v>0</v>
      </c>
      <c r="J13" s="465">
        <v>0</v>
      </c>
      <c r="K13" s="465">
        <v>0</v>
      </c>
      <c r="L13" s="661">
        <f t="shared" si="0"/>
        <v>52</v>
      </c>
      <c r="M13" s="465">
        <v>83</v>
      </c>
      <c r="N13" s="661">
        <f>Table_Default__XLS_TAB_38_2[[#This Row],[TOTAL]]+Table_Default__XLS_TAB_38_2[[#This Row],[NO_OCCUP]]</f>
        <v>135</v>
      </c>
      <c r="O13" s="317" t="s">
        <v>419</v>
      </c>
    </row>
    <row r="14" spans="1:15" ht="45">
      <c r="A14" s="320" t="s">
        <v>408</v>
      </c>
      <c r="B14" s="465">
        <v>0</v>
      </c>
      <c r="C14" s="465">
        <v>3</v>
      </c>
      <c r="D14" s="465">
        <v>3</v>
      </c>
      <c r="E14" s="465">
        <v>5</v>
      </c>
      <c r="F14" s="465">
        <v>6</v>
      </c>
      <c r="G14" s="465">
        <v>0</v>
      </c>
      <c r="H14" s="465">
        <v>0</v>
      </c>
      <c r="I14" s="465">
        <v>0</v>
      </c>
      <c r="J14" s="465">
        <v>0</v>
      </c>
      <c r="K14" s="465">
        <v>0</v>
      </c>
      <c r="L14" s="661">
        <f t="shared" si="0"/>
        <v>17</v>
      </c>
      <c r="M14" s="465">
        <v>16</v>
      </c>
      <c r="N14" s="661">
        <f>Table_Default__XLS_TAB_38_2[[#This Row],[TOTAL]]+Table_Default__XLS_TAB_38_2[[#This Row],[NO_OCCUP]]</f>
        <v>33</v>
      </c>
      <c r="O14" s="317" t="s">
        <v>752</v>
      </c>
    </row>
    <row r="15" spans="1:15" ht="30">
      <c r="A15" s="320" t="s">
        <v>407</v>
      </c>
      <c r="B15" s="465">
        <v>0</v>
      </c>
      <c r="C15" s="465">
        <v>1</v>
      </c>
      <c r="D15" s="465">
        <v>0</v>
      </c>
      <c r="E15" s="465">
        <v>0</v>
      </c>
      <c r="F15" s="465">
        <v>0</v>
      </c>
      <c r="G15" s="465">
        <v>0</v>
      </c>
      <c r="H15" s="465">
        <v>0</v>
      </c>
      <c r="I15" s="465">
        <v>0</v>
      </c>
      <c r="J15" s="465">
        <v>0</v>
      </c>
      <c r="K15" s="465">
        <v>0</v>
      </c>
      <c r="L15" s="661">
        <f t="shared" si="0"/>
        <v>1</v>
      </c>
      <c r="M15" s="465">
        <v>0</v>
      </c>
      <c r="N15" s="661">
        <f>Table_Default__XLS_TAB_38_2[[#This Row],[TOTAL]]+Table_Default__XLS_TAB_38_2[[#This Row],[NO_OCCUP]]</f>
        <v>1</v>
      </c>
      <c r="O15" s="317" t="s">
        <v>417</v>
      </c>
    </row>
    <row r="16" spans="1:15" ht="30">
      <c r="A16" s="320" t="s">
        <v>406</v>
      </c>
      <c r="B16" s="465">
        <v>0</v>
      </c>
      <c r="C16" s="465">
        <v>0</v>
      </c>
      <c r="D16" s="465">
        <v>0</v>
      </c>
      <c r="E16" s="465">
        <v>0</v>
      </c>
      <c r="F16" s="465">
        <v>0</v>
      </c>
      <c r="G16" s="465">
        <v>0</v>
      </c>
      <c r="H16" s="465">
        <v>0</v>
      </c>
      <c r="I16" s="465">
        <v>0</v>
      </c>
      <c r="J16" s="465">
        <v>0</v>
      </c>
      <c r="K16" s="465">
        <v>0</v>
      </c>
      <c r="L16" s="661">
        <f t="shared" si="0"/>
        <v>0</v>
      </c>
      <c r="M16" s="465">
        <v>0</v>
      </c>
      <c r="N16" s="661">
        <f>Table_Default__XLS_TAB_38_2[[#This Row],[TOTAL]]+Table_Default__XLS_TAB_38_2[[#This Row],[NO_OCCUP]]</f>
        <v>0</v>
      </c>
      <c r="O16" s="317" t="s">
        <v>416</v>
      </c>
    </row>
    <row r="17" spans="1:15" ht="38.25">
      <c r="A17" s="320" t="s">
        <v>405</v>
      </c>
      <c r="B17" s="465">
        <v>0</v>
      </c>
      <c r="C17" s="465">
        <v>3</v>
      </c>
      <c r="D17" s="465">
        <v>0</v>
      </c>
      <c r="E17" s="465">
        <v>1</v>
      </c>
      <c r="F17" s="465">
        <v>2</v>
      </c>
      <c r="G17" s="465">
        <v>0</v>
      </c>
      <c r="H17" s="465">
        <v>0</v>
      </c>
      <c r="I17" s="465">
        <v>0</v>
      </c>
      <c r="J17" s="465">
        <v>0</v>
      </c>
      <c r="K17" s="465">
        <v>0</v>
      </c>
      <c r="L17" s="661">
        <f t="shared" si="0"/>
        <v>6</v>
      </c>
      <c r="M17" s="465">
        <v>4</v>
      </c>
      <c r="N17" s="661">
        <f>Table_Default__XLS_TAB_38_2[[#This Row],[TOTAL]]+Table_Default__XLS_TAB_38_2[[#This Row],[NO_OCCUP]]</f>
        <v>10</v>
      </c>
      <c r="O17" s="317" t="s">
        <v>415</v>
      </c>
    </row>
    <row r="18" spans="1:15" ht="21.95" customHeight="1">
      <c r="A18" s="320" t="s">
        <v>404</v>
      </c>
      <c r="B18" s="465">
        <v>1</v>
      </c>
      <c r="C18" s="465">
        <v>0</v>
      </c>
      <c r="D18" s="465">
        <v>0</v>
      </c>
      <c r="E18" s="465">
        <v>4</v>
      </c>
      <c r="F18" s="465">
        <v>1</v>
      </c>
      <c r="G18" s="465">
        <v>0</v>
      </c>
      <c r="H18" s="465">
        <v>0</v>
      </c>
      <c r="I18" s="465">
        <v>0</v>
      </c>
      <c r="J18" s="465">
        <v>0</v>
      </c>
      <c r="K18" s="465">
        <v>0</v>
      </c>
      <c r="L18" s="661">
        <f t="shared" si="0"/>
        <v>6</v>
      </c>
      <c r="M18" s="465">
        <v>5</v>
      </c>
      <c r="N18" s="661">
        <f>Table_Default__XLS_TAB_38_2[[#This Row],[TOTAL]]+Table_Default__XLS_TAB_38_2[[#This Row],[NO_OCCUP]]</f>
        <v>11</v>
      </c>
      <c r="O18" s="317" t="s">
        <v>414</v>
      </c>
    </row>
    <row r="19" spans="1:15" ht="30">
      <c r="A19" s="840" t="s">
        <v>403</v>
      </c>
      <c r="B19" s="841">
        <v>0</v>
      </c>
      <c r="C19" s="841">
        <v>0</v>
      </c>
      <c r="D19" s="841">
        <v>0</v>
      </c>
      <c r="E19" s="841">
        <v>0</v>
      </c>
      <c r="F19" s="841">
        <v>0</v>
      </c>
      <c r="G19" s="841">
        <v>0</v>
      </c>
      <c r="H19" s="841">
        <v>0</v>
      </c>
      <c r="I19" s="841">
        <v>0</v>
      </c>
      <c r="J19" s="841">
        <v>0</v>
      </c>
      <c r="K19" s="841">
        <v>0</v>
      </c>
      <c r="L19" s="660">
        <f t="shared" si="0"/>
        <v>0</v>
      </c>
      <c r="M19" s="841">
        <v>0</v>
      </c>
      <c r="N19" s="660">
        <f>Table_Default__XLS_TAB_38_2[[#This Row],[TOTAL]]+Table_Default__XLS_TAB_38_2[[#This Row],[NO_OCCUP]]</f>
        <v>0</v>
      </c>
      <c r="O19" s="842" t="s">
        <v>402</v>
      </c>
    </row>
    <row r="20" spans="1:15" ht="21.95" customHeight="1">
      <c r="A20" s="840" t="s">
        <v>21</v>
      </c>
      <c r="B20" s="841">
        <f>SUM(B10:B19)</f>
        <v>7</v>
      </c>
      <c r="C20" s="841">
        <f t="shared" ref="C20:N20" si="1">SUM(C10:C19)</f>
        <v>51</v>
      </c>
      <c r="D20" s="841">
        <f t="shared" si="1"/>
        <v>59</v>
      </c>
      <c r="E20" s="841">
        <f t="shared" si="1"/>
        <v>68</v>
      </c>
      <c r="F20" s="841">
        <f t="shared" si="1"/>
        <v>29</v>
      </c>
      <c r="G20" s="841">
        <f t="shared" si="1"/>
        <v>0</v>
      </c>
      <c r="H20" s="841">
        <f t="shared" si="1"/>
        <v>2</v>
      </c>
      <c r="I20" s="841">
        <f t="shared" si="1"/>
        <v>0</v>
      </c>
      <c r="J20" s="841">
        <f t="shared" si="1"/>
        <v>2</v>
      </c>
      <c r="K20" s="841">
        <f t="shared" si="1"/>
        <v>0</v>
      </c>
      <c r="L20" s="841">
        <f t="shared" si="1"/>
        <v>218</v>
      </c>
      <c r="M20" s="841">
        <f t="shared" si="1"/>
        <v>229</v>
      </c>
      <c r="N20" s="841">
        <f t="shared" si="1"/>
        <v>447</v>
      </c>
      <c r="O20" s="842" t="s">
        <v>176</v>
      </c>
    </row>
    <row r="21" spans="1:15" ht="21.95" customHeight="1">
      <c r="A21" s="320" t="s">
        <v>401</v>
      </c>
      <c r="B21" s="465">
        <v>1</v>
      </c>
      <c r="C21" s="465">
        <v>8</v>
      </c>
      <c r="D21" s="465">
        <v>5</v>
      </c>
      <c r="E21" s="465">
        <v>6</v>
      </c>
      <c r="F21" s="465">
        <v>0</v>
      </c>
      <c r="G21" s="465">
        <v>0</v>
      </c>
      <c r="H21" s="465">
        <v>0</v>
      </c>
      <c r="I21" s="465">
        <v>0</v>
      </c>
      <c r="J21" s="465">
        <v>1</v>
      </c>
      <c r="K21" s="465">
        <v>0</v>
      </c>
      <c r="L21" s="466">
        <v>21</v>
      </c>
      <c r="M21" s="465">
        <v>32</v>
      </c>
      <c r="N21" s="466">
        <v>53</v>
      </c>
      <c r="O21" s="317" t="s">
        <v>400</v>
      </c>
    </row>
    <row r="22" spans="1:15" ht="27" customHeight="1">
      <c r="A22" s="178" t="s">
        <v>399</v>
      </c>
      <c r="B22" s="660">
        <f>B20+B21</f>
        <v>8</v>
      </c>
      <c r="C22" s="660">
        <f t="shared" ref="C22:N22" si="2">C20+C21</f>
        <v>59</v>
      </c>
      <c r="D22" s="660">
        <f t="shared" si="2"/>
        <v>64</v>
      </c>
      <c r="E22" s="660">
        <f t="shared" si="2"/>
        <v>74</v>
      </c>
      <c r="F22" s="660">
        <f t="shared" si="2"/>
        <v>29</v>
      </c>
      <c r="G22" s="660">
        <f t="shared" si="2"/>
        <v>0</v>
      </c>
      <c r="H22" s="660">
        <f t="shared" si="2"/>
        <v>2</v>
      </c>
      <c r="I22" s="660">
        <f t="shared" si="2"/>
        <v>0</v>
      </c>
      <c r="J22" s="660">
        <f t="shared" si="2"/>
        <v>3</v>
      </c>
      <c r="K22" s="660">
        <f t="shared" si="2"/>
        <v>0</v>
      </c>
      <c r="L22" s="660">
        <f t="shared" si="2"/>
        <v>239</v>
      </c>
      <c r="M22" s="660">
        <f t="shared" si="2"/>
        <v>261</v>
      </c>
      <c r="N22" s="660">
        <f t="shared" si="2"/>
        <v>500</v>
      </c>
      <c r="O22" s="179" t="s">
        <v>398</v>
      </c>
    </row>
    <row r="23" spans="1:15">
      <c r="A23" s="135" t="s">
        <v>397</v>
      </c>
      <c r="O23" s="134" t="s">
        <v>396</v>
      </c>
    </row>
  </sheetData>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80" orientation="landscape" r:id="rId1"/>
  <headerFooter alignWithMargins="0"/>
  <drawing r:id="rId2"/>
  <tableParts count="1">
    <tablePart r:id="rId3"/>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
  <sheetViews>
    <sheetView rightToLeft="1" view="pageBreakPreview" topLeftCell="A8" zoomScale="85" zoomScaleNormal="100" zoomScaleSheetLayoutView="85" workbookViewId="0">
      <selection activeCell="E17" sqref="E17"/>
    </sheetView>
  </sheetViews>
  <sheetFormatPr defaultColWidth="9.140625" defaultRowHeight="12.75"/>
  <cols>
    <col min="1" max="1" width="23.140625" style="1" customWidth="1"/>
    <col min="2" max="2" width="12.140625" style="1" customWidth="1"/>
    <col min="3" max="3" width="11.7109375" style="1" customWidth="1"/>
    <col min="4" max="4" width="10.42578125" style="1" customWidth="1"/>
    <col min="5" max="5" width="6.85546875" style="1" customWidth="1"/>
    <col min="6" max="6" width="10.5703125" style="1" customWidth="1"/>
    <col min="7" max="7" width="10" style="1" customWidth="1"/>
    <col min="8" max="8" width="8.5703125" style="1" customWidth="1"/>
    <col min="9" max="9" width="7.85546875" style="1" customWidth="1"/>
    <col min="10" max="10" width="9" style="1" customWidth="1"/>
    <col min="11" max="11" width="9.28515625" style="1" customWidth="1"/>
    <col min="12" max="12" width="7.140625" style="1" customWidth="1"/>
    <col min="13" max="13" width="8.140625" style="1" customWidth="1"/>
    <col min="14" max="14" width="10" style="1" customWidth="1"/>
    <col min="15" max="15" width="27.85546875" style="1" customWidth="1"/>
    <col min="16" max="16384" width="9.140625" style="1"/>
  </cols>
  <sheetData>
    <row r="1" spans="1:15" s="2" customFormat="1" ht="18.75" customHeight="1">
      <c r="A1" s="1005" t="s">
        <v>584</v>
      </c>
      <c r="B1" s="1005"/>
      <c r="C1" s="1005"/>
      <c r="D1" s="1005"/>
      <c r="E1" s="1005"/>
      <c r="F1" s="1005"/>
      <c r="G1" s="1005"/>
      <c r="H1" s="1005"/>
      <c r="I1" s="1005"/>
      <c r="J1" s="1005"/>
      <c r="K1" s="1005"/>
      <c r="L1" s="1005"/>
      <c r="M1" s="1005"/>
      <c r="N1" s="1005"/>
      <c r="O1" s="1005"/>
    </row>
    <row r="2" spans="1:15" s="2" customFormat="1" ht="15.75">
      <c r="A2" s="1006" t="s">
        <v>1009</v>
      </c>
      <c r="B2" s="1006"/>
      <c r="C2" s="1006"/>
      <c r="D2" s="1006"/>
      <c r="E2" s="1006"/>
      <c r="F2" s="1006"/>
      <c r="G2" s="1006"/>
      <c r="H2" s="1006"/>
      <c r="I2" s="1006"/>
      <c r="J2" s="1006"/>
      <c r="K2" s="1006"/>
      <c r="L2" s="1006"/>
      <c r="M2" s="1006"/>
      <c r="N2" s="1006"/>
      <c r="O2" s="1006"/>
    </row>
    <row r="3" spans="1:15" s="2" customFormat="1" ht="15" customHeight="1">
      <c r="A3" s="1007">
        <v>2015</v>
      </c>
      <c r="B3" s="1007"/>
      <c r="C3" s="1007"/>
      <c r="D3" s="1007"/>
      <c r="E3" s="1007"/>
      <c r="F3" s="1007"/>
      <c r="G3" s="1007"/>
      <c r="H3" s="1007"/>
      <c r="I3" s="1007"/>
      <c r="J3" s="1007"/>
      <c r="K3" s="1007"/>
      <c r="L3" s="1007"/>
      <c r="M3" s="1007"/>
      <c r="N3" s="1007"/>
      <c r="O3" s="1007"/>
    </row>
    <row r="4" spans="1:15" s="2" customFormat="1" ht="15.75">
      <c r="A4" s="1008" t="s">
        <v>1</v>
      </c>
      <c r="B4" s="1008"/>
      <c r="C4" s="1008"/>
      <c r="D4" s="1008"/>
      <c r="E4" s="1008"/>
      <c r="F4" s="1008"/>
      <c r="G4" s="1008"/>
      <c r="H4" s="1008"/>
      <c r="I4" s="1008"/>
      <c r="J4" s="1008"/>
      <c r="K4" s="1008"/>
      <c r="L4" s="1008"/>
      <c r="M4" s="1008"/>
      <c r="N4" s="1008"/>
      <c r="O4" s="1008"/>
    </row>
    <row r="5" spans="1:15" s="2" customFormat="1" ht="15.75">
      <c r="A5" s="651"/>
      <c r="B5" s="651"/>
      <c r="C5" s="651"/>
      <c r="D5" s="651"/>
      <c r="E5" s="651"/>
      <c r="F5" s="651"/>
      <c r="G5" s="651"/>
      <c r="H5" s="651"/>
      <c r="I5" s="651"/>
      <c r="J5" s="651"/>
      <c r="K5" s="651"/>
      <c r="L5" s="651"/>
      <c r="M5" s="651"/>
      <c r="N5" s="651"/>
      <c r="O5" s="651"/>
    </row>
    <row r="6" spans="1:15" ht="15.75">
      <c r="A6" s="648" t="s">
        <v>637</v>
      </c>
      <c r="B6" s="652"/>
      <c r="C6" s="652"/>
      <c r="D6" s="652"/>
      <c r="E6" s="652"/>
      <c r="F6" s="652"/>
      <c r="G6" s="652"/>
      <c r="H6" s="652"/>
      <c r="I6" s="652"/>
      <c r="J6" s="652"/>
      <c r="K6" s="652"/>
      <c r="L6" s="652"/>
      <c r="M6" s="652"/>
      <c r="N6" s="652"/>
      <c r="O6" s="650" t="s">
        <v>638</v>
      </c>
    </row>
    <row r="7" spans="1:15" ht="30" customHeight="1" thickBot="1">
      <c r="A7" s="985" t="s">
        <v>426</v>
      </c>
      <c r="B7" s="1003" t="s">
        <v>425</v>
      </c>
      <c r="C7" s="1003"/>
      <c r="D7" s="1003"/>
      <c r="E7" s="1003"/>
      <c r="F7" s="1003"/>
      <c r="G7" s="1003"/>
      <c r="H7" s="1003"/>
      <c r="I7" s="1003"/>
      <c r="J7" s="1003"/>
      <c r="K7" s="1003"/>
      <c r="L7" s="1003"/>
      <c r="M7" s="1003"/>
      <c r="N7" s="1003"/>
      <c r="O7" s="997" t="s">
        <v>424</v>
      </c>
    </row>
    <row r="8" spans="1:15" ht="79.5" customHeight="1" thickBot="1">
      <c r="A8" s="1002"/>
      <c r="B8" s="587" t="s">
        <v>412</v>
      </c>
      <c r="C8" s="587" t="s">
        <v>411</v>
      </c>
      <c r="D8" s="587" t="s">
        <v>410</v>
      </c>
      <c r="E8" s="587" t="s">
        <v>409</v>
      </c>
      <c r="F8" s="588" t="s">
        <v>408</v>
      </c>
      <c r="G8" s="588" t="s">
        <v>407</v>
      </c>
      <c r="H8" s="588" t="s">
        <v>406</v>
      </c>
      <c r="I8" s="588" t="s">
        <v>405</v>
      </c>
      <c r="J8" s="588" t="s">
        <v>404</v>
      </c>
      <c r="K8" s="588" t="s">
        <v>403</v>
      </c>
      <c r="L8" s="589" t="s">
        <v>21</v>
      </c>
      <c r="M8" s="588" t="s">
        <v>401</v>
      </c>
      <c r="N8" s="587" t="s">
        <v>423</v>
      </c>
      <c r="O8" s="1004"/>
    </row>
    <row r="9" spans="1:15" ht="69" customHeight="1">
      <c r="A9" s="986"/>
      <c r="B9" s="836" t="s">
        <v>422</v>
      </c>
      <c r="C9" s="836" t="s">
        <v>421</v>
      </c>
      <c r="D9" s="836" t="s">
        <v>420</v>
      </c>
      <c r="E9" s="836" t="s">
        <v>419</v>
      </c>
      <c r="F9" s="837" t="s">
        <v>418</v>
      </c>
      <c r="G9" s="837" t="s">
        <v>417</v>
      </c>
      <c r="H9" s="837" t="s">
        <v>416</v>
      </c>
      <c r="I9" s="837" t="s">
        <v>415</v>
      </c>
      <c r="J9" s="837" t="s">
        <v>414</v>
      </c>
      <c r="K9" s="837" t="s">
        <v>402</v>
      </c>
      <c r="L9" s="838" t="s">
        <v>176</v>
      </c>
      <c r="M9" s="837" t="s">
        <v>400</v>
      </c>
      <c r="N9" s="839" t="s">
        <v>413</v>
      </c>
      <c r="O9" s="1037"/>
    </row>
    <row r="10" spans="1:15" ht="38.25">
      <c r="A10" s="843" t="s">
        <v>412</v>
      </c>
      <c r="B10" s="844">
        <v>1</v>
      </c>
      <c r="C10" s="844">
        <v>6</v>
      </c>
      <c r="D10" s="844">
        <v>11</v>
      </c>
      <c r="E10" s="844">
        <v>18</v>
      </c>
      <c r="F10" s="844">
        <v>4</v>
      </c>
      <c r="G10" s="844">
        <v>0</v>
      </c>
      <c r="H10" s="844">
        <v>0</v>
      </c>
      <c r="I10" s="844">
        <v>0</v>
      </c>
      <c r="J10" s="844">
        <v>1</v>
      </c>
      <c r="K10" s="844">
        <v>0</v>
      </c>
      <c r="L10" s="845">
        <f>SUM(B10:K10)</f>
        <v>41</v>
      </c>
      <c r="M10" s="844">
        <v>44</v>
      </c>
      <c r="N10" s="845">
        <f>Table_Default__XLS_TAB_38_3[[#This Row],[TOTAL]]+Table_Default__XLS_TAB_38_3[[#This Row],[NO_OCCUP]]</f>
        <v>85</v>
      </c>
      <c r="O10" s="846" t="s">
        <v>422</v>
      </c>
    </row>
    <row r="11" spans="1:15" ht="21.95" customHeight="1">
      <c r="A11" s="320" t="s">
        <v>411</v>
      </c>
      <c r="B11" s="465">
        <v>4</v>
      </c>
      <c r="C11" s="465">
        <v>19</v>
      </c>
      <c r="D11" s="465">
        <v>17</v>
      </c>
      <c r="E11" s="465">
        <v>11</v>
      </c>
      <c r="F11" s="465">
        <v>5</v>
      </c>
      <c r="G11" s="465">
        <v>0</v>
      </c>
      <c r="H11" s="465">
        <v>0</v>
      </c>
      <c r="I11" s="465">
        <v>0</v>
      </c>
      <c r="J11" s="465">
        <v>0</v>
      </c>
      <c r="K11" s="465">
        <v>0</v>
      </c>
      <c r="L11" s="661">
        <f t="shared" ref="L11:L19" si="0">SUM(B11:K11)</f>
        <v>56</v>
      </c>
      <c r="M11" s="465">
        <v>62</v>
      </c>
      <c r="N11" s="661">
        <f>Table_Default__XLS_TAB_38_3[[#This Row],[TOTAL]]+Table_Default__XLS_TAB_38_3[[#This Row],[NO_OCCUP]]</f>
        <v>118</v>
      </c>
      <c r="O11" s="317" t="s">
        <v>421</v>
      </c>
    </row>
    <row r="12" spans="1:15" ht="38.25">
      <c r="A12" s="320" t="s">
        <v>410</v>
      </c>
      <c r="B12" s="465">
        <v>0</v>
      </c>
      <c r="C12" s="465">
        <v>21</v>
      </c>
      <c r="D12" s="465">
        <v>49</v>
      </c>
      <c r="E12" s="465">
        <v>47</v>
      </c>
      <c r="F12" s="465">
        <v>7</v>
      </c>
      <c r="G12" s="465">
        <v>0</v>
      </c>
      <c r="H12" s="465">
        <v>1</v>
      </c>
      <c r="I12" s="465">
        <v>0</v>
      </c>
      <c r="J12" s="465">
        <v>1</v>
      </c>
      <c r="K12" s="465">
        <v>0</v>
      </c>
      <c r="L12" s="661">
        <f t="shared" si="0"/>
        <v>126</v>
      </c>
      <c r="M12" s="465">
        <v>149</v>
      </c>
      <c r="N12" s="661">
        <f>Table_Default__XLS_TAB_38_3[[#This Row],[TOTAL]]+Table_Default__XLS_TAB_38_3[[#This Row],[NO_OCCUP]]</f>
        <v>275</v>
      </c>
      <c r="O12" s="317" t="s">
        <v>420</v>
      </c>
    </row>
    <row r="13" spans="1:15" ht="21.95" customHeight="1">
      <c r="A13" s="320" t="s">
        <v>409</v>
      </c>
      <c r="B13" s="465">
        <v>1</v>
      </c>
      <c r="C13" s="465">
        <v>27</v>
      </c>
      <c r="D13" s="465">
        <v>46</v>
      </c>
      <c r="E13" s="465">
        <v>118</v>
      </c>
      <c r="F13" s="465">
        <v>7</v>
      </c>
      <c r="G13" s="465">
        <v>0</v>
      </c>
      <c r="H13" s="465">
        <v>1</v>
      </c>
      <c r="I13" s="465">
        <v>0</v>
      </c>
      <c r="J13" s="465">
        <v>1</v>
      </c>
      <c r="K13" s="465">
        <v>0</v>
      </c>
      <c r="L13" s="661">
        <f t="shared" si="0"/>
        <v>201</v>
      </c>
      <c r="M13" s="465">
        <v>302</v>
      </c>
      <c r="N13" s="661">
        <f>Table_Default__XLS_TAB_38_3[[#This Row],[TOTAL]]+Table_Default__XLS_TAB_38_3[[#This Row],[NO_OCCUP]]</f>
        <v>503</v>
      </c>
      <c r="O13" s="317" t="s">
        <v>419</v>
      </c>
    </row>
    <row r="14" spans="1:15" ht="45">
      <c r="A14" s="320" t="s">
        <v>408</v>
      </c>
      <c r="B14" s="465">
        <v>0</v>
      </c>
      <c r="C14" s="465">
        <v>4</v>
      </c>
      <c r="D14" s="465">
        <v>7</v>
      </c>
      <c r="E14" s="465">
        <v>21</v>
      </c>
      <c r="F14" s="465">
        <v>6</v>
      </c>
      <c r="G14" s="465">
        <v>0</v>
      </c>
      <c r="H14" s="465">
        <v>0</v>
      </c>
      <c r="I14" s="465">
        <v>0</v>
      </c>
      <c r="J14" s="465">
        <v>0</v>
      </c>
      <c r="K14" s="465">
        <v>0</v>
      </c>
      <c r="L14" s="661">
        <f t="shared" si="0"/>
        <v>38</v>
      </c>
      <c r="M14" s="465">
        <v>70</v>
      </c>
      <c r="N14" s="661">
        <f>Table_Default__XLS_TAB_38_3[[#This Row],[TOTAL]]+Table_Default__XLS_TAB_38_3[[#This Row],[NO_OCCUP]]</f>
        <v>108</v>
      </c>
      <c r="O14" s="317" t="s">
        <v>752</v>
      </c>
    </row>
    <row r="15" spans="1:15" ht="30">
      <c r="A15" s="320" t="s">
        <v>407</v>
      </c>
      <c r="B15" s="465">
        <v>0</v>
      </c>
      <c r="C15" s="465">
        <v>1</v>
      </c>
      <c r="D15" s="465">
        <v>0</v>
      </c>
      <c r="E15" s="465">
        <v>0</v>
      </c>
      <c r="F15" s="465">
        <v>0</v>
      </c>
      <c r="G15" s="465">
        <v>0</v>
      </c>
      <c r="H15" s="465">
        <v>0</v>
      </c>
      <c r="I15" s="465">
        <v>0</v>
      </c>
      <c r="J15" s="465">
        <v>0</v>
      </c>
      <c r="K15" s="465">
        <v>0</v>
      </c>
      <c r="L15" s="661">
        <f t="shared" si="0"/>
        <v>1</v>
      </c>
      <c r="M15" s="465">
        <v>0</v>
      </c>
      <c r="N15" s="661">
        <f>Table_Default__XLS_TAB_38_3[[#This Row],[TOTAL]]+Table_Default__XLS_TAB_38_3[[#This Row],[NO_OCCUP]]</f>
        <v>1</v>
      </c>
      <c r="O15" s="317" t="s">
        <v>417</v>
      </c>
    </row>
    <row r="16" spans="1:15" ht="30">
      <c r="A16" s="320" t="s">
        <v>406</v>
      </c>
      <c r="B16" s="465">
        <v>0</v>
      </c>
      <c r="C16" s="465">
        <v>0</v>
      </c>
      <c r="D16" s="465">
        <v>0</v>
      </c>
      <c r="E16" s="465">
        <v>0</v>
      </c>
      <c r="F16" s="465">
        <v>0</v>
      </c>
      <c r="G16" s="465">
        <v>0</v>
      </c>
      <c r="H16" s="465">
        <v>0</v>
      </c>
      <c r="I16" s="465">
        <v>0</v>
      </c>
      <c r="J16" s="465">
        <v>0</v>
      </c>
      <c r="K16" s="465">
        <v>0</v>
      </c>
      <c r="L16" s="661">
        <f t="shared" si="0"/>
        <v>0</v>
      </c>
      <c r="M16" s="465">
        <v>0</v>
      </c>
      <c r="N16" s="661">
        <f>Table_Default__XLS_TAB_38_3[[#This Row],[TOTAL]]+Table_Default__XLS_TAB_38_3[[#This Row],[NO_OCCUP]]</f>
        <v>0</v>
      </c>
      <c r="O16" s="317" t="s">
        <v>416</v>
      </c>
    </row>
    <row r="17" spans="1:15" ht="38.25">
      <c r="A17" s="320" t="s">
        <v>405</v>
      </c>
      <c r="B17" s="465">
        <v>0</v>
      </c>
      <c r="C17" s="465">
        <v>3</v>
      </c>
      <c r="D17" s="465">
        <v>0</v>
      </c>
      <c r="E17" s="465">
        <v>1</v>
      </c>
      <c r="F17" s="465">
        <v>2</v>
      </c>
      <c r="G17" s="465">
        <v>0</v>
      </c>
      <c r="H17" s="465">
        <v>0</v>
      </c>
      <c r="I17" s="465">
        <v>0</v>
      </c>
      <c r="J17" s="465">
        <v>0</v>
      </c>
      <c r="K17" s="465">
        <v>0</v>
      </c>
      <c r="L17" s="661">
        <f t="shared" si="0"/>
        <v>6</v>
      </c>
      <c r="M17" s="465">
        <v>4</v>
      </c>
      <c r="N17" s="661">
        <f>Table_Default__XLS_TAB_38_3[[#This Row],[TOTAL]]+Table_Default__XLS_TAB_38_3[[#This Row],[NO_OCCUP]]</f>
        <v>10</v>
      </c>
      <c r="O17" s="317" t="s">
        <v>415</v>
      </c>
    </row>
    <row r="18" spans="1:15" ht="25.5">
      <c r="A18" s="320" t="s">
        <v>404</v>
      </c>
      <c r="B18" s="465">
        <v>1</v>
      </c>
      <c r="C18" s="465">
        <v>1</v>
      </c>
      <c r="D18" s="465">
        <v>0</v>
      </c>
      <c r="E18" s="465">
        <v>15</v>
      </c>
      <c r="F18" s="465">
        <v>3</v>
      </c>
      <c r="G18" s="465">
        <v>0</v>
      </c>
      <c r="H18" s="465">
        <v>0</v>
      </c>
      <c r="I18" s="465">
        <v>0</v>
      </c>
      <c r="J18" s="465">
        <v>0</v>
      </c>
      <c r="K18" s="465">
        <v>0</v>
      </c>
      <c r="L18" s="661">
        <f t="shared" si="0"/>
        <v>20</v>
      </c>
      <c r="M18" s="465">
        <v>37</v>
      </c>
      <c r="N18" s="661">
        <f>Table_Default__XLS_TAB_38_3[[#This Row],[TOTAL]]+Table_Default__XLS_TAB_38_3[[#This Row],[NO_OCCUP]]</f>
        <v>57</v>
      </c>
      <c r="O18" s="317" t="s">
        <v>414</v>
      </c>
    </row>
    <row r="19" spans="1:15" ht="33.75" customHeight="1">
      <c r="A19" s="840" t="s">
        <v>403</v>
      </c>
      <c r="B19" s="841">
        <v>0</v>
      </c>
      <c r="C19" s="841">
        <v>0</v>
      </c>
      <c r="D19" s="841">
        <v>0</v>
      </c>
      <c r="E19" s="841">
        <v>0</v>
      </c>
      <c r="F19" s="841">
        <v>0</v>
      </c>
      <c r="G19" s="841">
        <v>0</v>
      </c>
      <c r="H19" s="841">
        <v>0</v>
      </c>
      <c r="I19" s="841">
        <v>0</v>
      </c>
      <c r="J19" s="841">
        <v>0</v>
      </c>
      <c r="K19" s="841">
        <v>0</v>
      </c>
      <c r="L19" s="660">
        <f t="shared" si="0"/>
        <v>0</v>
      </c>
      <c r="M19" s="660">
        <v>0</v>
      </c>
      <c r="N19" s="660">
        <f>Table_Default__XLS_TAB_38_3[[#This Row],[TOTAL]]+Table_Default__XLS_TAB_38_3[[#This Row],[NO_OCCUP]]</f>
        <v>0</v>
      </c>
      <c r="O19" s="842" t="s">
        <v>402</v>
      </c>
    </row>
    <row r="20" spans="1:15" ht="15">
      <c r="A20" s="840" t="s">
        <v>21</v>
      </c>
      <c r="B20" s="841">
        <f>SUM(B10:B19)</f>
        <v>7</v>
      </c>
      <c r="C20" s="841">
        <f t="shared" ref="C20:N20" si="1">SUM(C10:C19)</f>
        <v>82</v>
      </c>
      <c r="D20" s="841">
        <f t="shared" si="1"/>
        <v>130</v>
      </c>
      <c r="E20" s="841">
        <f t="shared" si="1"/>
        <v>231</v>
      </c>
      <c r="F20" s="841">
        <f t="shared" si="1"/>
        <v>34</v>
      </c>
      <c r="G20" s="841">
        <f t="shared" si="1"/>
        <v>0</v>
      </c>
      <c r="H20" s="841">
        <f t="shared" si="1"/>
        <v>2</v>
      </c>
      <c r="I20" s="841">
        <f t="shared" si="1"/>
        <v>0</v>
      </c>
      <c r="J20" s="841">
        <f t="shared" si="1"/>
        <v>3</v>
      </c>
      <c r="K20" s="841">
        <f t="shared" si="1"/>
        <v>0</v>
      </c>
      <c r="L20" s="841">
        <f t="shared" si="1"/>
        <v>489</v>
      </c>
      <c r="M20" s="841">
        <f t="shared" si="1"/>
        <v>668</v>
      </c>
      <c r="N20" s="841">
        <f t="shared" si="1"/>
        <v>1157</v>
      </c>
      <c r="O20" s="842" t="s">
        <v>176</v>
      </c>
    </row>
    <row r="21" spans="1:15" ht="15.75" thickBot="1">
      <c r="A21" s="403" t="s">
        <v>401</v>
      </c>
      <c r="B21" s="463">
        <v>1</v>
      </c>
      <c r="C21" s="463">
        <v>12</v>
      </c>
      <c r="D21" s="463">
        <v>14</v>
      </c>
      <c r="E21" s="463">
        <v>16</v>
      </c>
      <c r="F21" s="463">
        <v>0</v>
      </c>
      <c r="G21" s="463">
        <v>0</v>
      </c>
      <c r="H21" s="463">
        <v>0</v>
      </c>
      <c r="I21" s="463">
        <v>0</v>
      </c>
      <c r="J21" s="463">
        <v>1</v>
      </c>
      <c r="K21" s="463">
        <v>0</v>
      </c>
      <c r="L21" s="464">
        <v>44</v>
      </c>
      <c r="M21" s="463">
        <v>106</v>
      </c>
      <c r="N21" s="464">
        <v>150</v>
      </c>
      <c r="O21" s="467" t="s">
        <v>400</v>
      </c>
    </row>
    <row r="22" spans="1:15" ht="27" customHeight="1">
      <c r="A22" s="178" t="s">
        <v>399</v>
      </c>
      <c r="B22" s="660">
        <f>B20+B21</f>
        <v>8</v>
      </c>
      <c r="C22" s="660">
        <f t="shared" ref="C22:N22" si="2">C20+C21</f>
        <v>94</v>
      </c>
      <c r="D22" s="660">
        <f t="shared" si="2"/>
        <v>144</v>
      </c>
      <c r="E22" s="660">
        <f t="shared" si="2"/>
        <v>247</v>
      </c>
      <c r="F22" s="660">
        <f t="shared" si="2"/>
        <v>34</v>
      </c>
      <c r="G22" s="660">
        <f t="shared" si="2"/>
        <v>0</v>
      </c>
      <c r="H22" s="660">
        <f t="shared" si="2"/>
        <v>2</v>
      </c>
      <c r="I22" s="660">
        <f t="shared" si="2"/>
        <v>0</v>
      </c>
      <c r="J22" s="660">
        <f t="shared" si="2"/>
        <v>4</v>
      </c>
      <c r="K22" s="660">
        <f t="shared" si="2"/>
        <v>0</v>
      </c>
      <c r="L22" s="660">
        <f t="shared" si="2"/>
        <v>533</v>
      </c>
      <c r="M22" s="660">
        <f t="shared" si="2"/>
        <v>774</v>
      </c>
      <c r="N22" s="660">
        <f t="shared" si="2"/>
        <v>1307</v>
      </c>
      <c r="O22" s="179" t="s">
        <v>398</v>
      </c>
    </row>
    <row r="23" spans="1:15">
      <c r="A23" s="135" t="s">
        <v>397</v>
      </c>
      <c r="O23" s="134" t="s">
        <v>396</v>
      </c>
    </row>
    <row r="27" spans="1:15">
      <c r="A27" s="1" t="s">
        <v>433</v>
      </c>
      <c r="B27" s="1" t="s">
        <v>392</v>
      </c>
      <c r="C27" s="1" t="s">
        <v>391</v>
      </c>
    </row>
    <row r="28" spans="1:15">
      <c r="A28" s="1" t="s">
        <v>441</v>
      </c>
      <c r="B28" s="1">
        <f>L13</f>
        <v>201</v>
      </c>
      <c r="C28" s="1">
        <f>E20</f>
        <v>231</v>
      </c>
    </row>
    <row r="29" spans="1:15">
      <c r="A29" s="1" t="s">
        <v>436</v>
      </c>
      <c r="B29" s="1">
        <f>L18</f>
        <v>20</v>
      </c>
      <c r="C29" s="1">
        <f>J20</f>
        <v>3</v>
      </c>
    </row>
    <row r="30" spans="1:15">
      <c r="A30" s="1" t="s">
        <v>440</v>
      </c>
      <c r="B30" s="1">
        <f>L14</f>
        <v>38</v>
      </c>
      <c r="C30" s="1">
        <f>F20</f>
        <v>34</v>
      </c>
    </row>
    <row r="31" spans="1:15">
      <c r="A31" s="1" t="s">
        <v>443</v>
      </c>
      <c r="B31" s="1">
        <f>L11</f>
        <v>56</v>
      </c>
      <c r="C31" s="1">
        <f>C20</f>
        <v>82</v>
      </c>
    </row>
    <row r="32" spans="1:15">
      <c r="A32" s="1" t="s">
        <v>442</v>
      </c>
      <c r="B32" s="1">
        <f>L12</f>
        <v>126</v>
      </c>
      <c r="C32" s="1">
        <f>D20</f>
        <v>130</v>
      </c>
    </row>
    <row r="33" spans="1:4">
      <c r="A33" s="1" t="s">
        <v>444</v>
      </c>
      <c r="B33" s="1">
        <f>L10</f>
        <v>41</v>
      </c>
      <c r="C33" s="1">
        <f>B20</f>
        <v>7</v>
      </c>
    </row>
    <row r="34" spans="1:4">
      <c r="A34" s="1" t="s">
        <v>434</v>
      </c>
      <c r="B34" s="1">
        <f>L21</f>
        <v>44</v>
      </c>
      <c r="C34" s="1">
        <f>M20</f>
        <v>668</v>
      </c>
    </row>
    <row r="35" spans="1:4">
      <c r="A35" s="1" t="s">
        <v>778</v>
      </c>
      <c r="B35" s="1">
        <f>B44</f>
        <v>7</v>
      </c>
      <c r="C35" s="1">
        <f>C44</f>
        <v>2</v>
      </c>
    </row>
    <row r="36" spans="1:4">
      <c r="B36" s="1">
        <f>SUM(B28:B35)</f>
        <v>533</v>
      </c>
      <c r="C36" s="1">
        <f>SUM(C28:C35)</f>
        <v>1157</v>
      </c>
      <c r="D36" s="1">
        <f>SUM(B36:C36)</f>
        <v>1690</v>
      </c>
    </row>
    <row r="40" spans="1:4">
      <c r="A40" s="1" t="s">
        <v>438</v>
      </c>
      <c r="B40" s="1">
        <f>L16</f>
        <v>0</v>
      </c>
      <c r="C40" s="1">
        <f>H20</f>
        <v>2</v>
      </c>
    </row>
    <row r="41" spans="1:4">
      <c r="A41" s="1" t="s">
        <v>437</v>
      </c>
      <c r="B41" s="1">
        <f>L17</f>
        <v>6</v>
      </c>
      <c r="C41" s="1">
        <f>I20</f>
        <v>0</v>
      </c>
    </row>
    <row r="42" spans="1:4">
      <c r="A42" s="1" t="s">
        <v>439</v>
      </c>
      <c r="B42" s="1">
        <f>L15</f>
        <v>1</v>
      </c>
      <c r="C42" s="1">
        <f>G20</f>
        <v>0</v>
      </c>
    </row>
    <row r="43" spans="1:4">
      <c r="A43" s="1" t="s">
        <v>435</v>
      </c>
      <c r="B43" s="1">
        <f>L19</f>
        <v>0</v>
      </c>
      <c r="C43" s="1">
        <f>K20</f>
        <v>0</v>
      </c>
    </row>
    <row r="44" spans="1:4">
      <c r="B44" s="1">
        <f>SUM(B40:B43)</f>
        <v>7</v>
      </c>
      <c r="C44" s="1">
        <f>SUM(C40:C43)</f>
        <v>2</v>
      </c>
    </row>
  </sheetData>
  <sortState ref="A51:C63">
    <sortCondition descending="1" ref="B51"/>
  </sortState>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80" orientation="landscape" r:id="rId1"/>
  <headerFooter alignWithMargins="0"/>
  <drawing r:id="rId2"/>
  <tableParts count="1">
    <tablePart r:id="rId3"/>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N37"/>
  <sheetViews>
    <sheetView rightToLeft="1" view="pageBreakPreview" zoomScaleNormal="100" zoomScaleSheetLayoutView="100" workbookViewId="0">
      <selection activeCell="S20" sqref="S20"/>
    </sheetView>
  </sheetViews>
  <sheetFormatPr defaultColWidth="9.140625" defaultRowHeight="12.75"/>
  <cols>
    <col min="1" max="16384" width="9.140625" style="1"/>
  </cols>
  <sheetData>
    <row r="37" spans="1:14" ht="15.75">
      <c r="A37" s="945" t="s">
        <v>585</v>
      </c>
      <c r="B37" s="945"/>
      <c r="C37" s="945"/>
      <c r="D37" s="945"/>
      <c r="E37" s="945"/>
      <c r="F37" s="945"/>
      <c r="G37" s="945"/>
      <c r="H37" s="945"/>
      <c r="I37" s="945"/>
      <c r="J37" s="945"/>
      <c r="K37" s="945"/>
      <c r="L37" s="945"/>
      <c r="M37" s="945"/>
      <c r="N37" s="945"/>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9"/>
  <sheetViews>
    <sheetView rightToLeft="1" view="pageBreakPreview" topLeftCell="I1" zoomScaleNormal="100" zoomScaleSheetLayoutView="100" workbookViewId="0">
      <selection activeCell="Y13" sqref="Y13"/>
    </sheetView>
  </sheetViews>
  <sheetFormatPr defaultColWidth="9.140625" defaultRowHeight="12.75"/>
  <cols>
    <col min="1" max="1" width="26.7109375" style="1" customWidth="1"/>
    <col min="2" max="2" width="23.140625" style="1" customWidth="1"/>
    <col min="3" max="8" width="20.28515625" style="1" customWidth="1"/>
    <col min="9" max="9" width="19.7109375" style="1" customWidth="1"/>
    <col min="10" max="10" width="7.42578125" style="1" customWidth="1"/>
    <col min="11" max="11" width="7.85546875" style="1" customWidth="1"/>
    <col min="12" max="12" width="6.42578125" style="1" customWidth="1"/>
    <col min="13" max="13" width="7.140625" style="1" customWidth="1"/>
    <col min="14" max="14" width="6.7109375" style="1" customWidth="1"/>
    <col min="15" max="15" width="7.42578125" style="1" customWidth="1"/>
    <col min="16" max="16" width="7" style="1" customWidth="1"/>
    <col min="17" max="17" width="8.5703125" style="1" customWidth="1"/>
    <col min="18" max="18" width="6.5703125" style="1" customWidth="1"/>
    <col min="19" max="19" width="7.140625" style="1" customWidth="1"/>
    <col min="20" max="20" width="12.28515625" style="1" customWidth="1"/>
    <col min="21" max="21" width="9.140625" style="1" customWidth="1"/>
    <col min="22" max="22" width="20.28515625" style="1" customWidth="1"/>
    <col min="23" max="16384" width="9.140625" style="1"/>
  </cols>
  <sheetData>
    <row r="1" spans="1:26" s="2" customFormat="1" ht="21.75" customHeight="1">
      <c r="I1" s="934" t="s">
        <v>590</v>
      </c>
      <c r="J1" s="934"/>
      <c r="K1" s="934"/>
      <c r="L1" s="934"/>
      <c r="M1" s="934"/>
      <c r="N1" s="934"/>
      <c r="O1" s="934"/>
      <c r="P1" s="934"/>
      <c r="Q1" s="934"/>
      <c r="R1" s="934"/>
      <c r="S1" s="934"/>
      <c r="T1" s="934"/>
      <c r="U1" s="934"/>
      <c r="V1" s="934"/>
    </row>
    <row r="2" spans="1:26" s="2" customFormat="1" ht="15.75">
      <c r="I2" s="958" t="s">
        <v>589</v>
      </c>
      <c r="J2" s="958"/>
      <c r="K2" s="958"/>
      <c r="L2" s="958"/>
      <c r="M2" s="958"/>
      <c r="N2" s="958"/>
      <c r="O2" s="958"/>
      <c r="P2" s="958"/>
      <c r="Q2" s="958"/>
      <c r="R2" s="958"/>
      <c r="S2" s="958"/>
      <c r="T2" s="958"/>
      <c r="U2" s="958"/>
      <c r="V2" s="958"/>
    </row>
    <row r="3" spans="1:26" s="2" customFormat="1" ht="18" customHeight="1">
      <c r="A3" s="2">
        <v>2013</v>
      </c>
      <c r="I3" s="959">
        <v>2015</v>
      </c>
      <c r="J3" s="959"/>
      <c r="K3" s="959"/>
      <c r="L3" s="959"/>
      <c r="M3" s="959"/>
      <c r="N3" s="959"/>
      <c r="O3" s="959"/>
      <c r="P3" s="959"/>
      <c r="Q3" s="959"/>
      <c r="R3" s="959"/>
      <c r="S3" s="959"/>
      <c r="T3" s="959"/>
      <c r="U3" s="959"/>
      <c r="V3" s="959"/>
      <c r="W3" s="125"/>
      <c r="X3" s="125"/>
      <c r="Y3" s="125"/>
      <c r="Z3" s="125"/>
    </row>
    <row r="4" spans="1:26" s="2" customFormat="1" ht="15.75">
      <c r="I4" s="959" t="s">
        <v>588</v>
      </c>
      <c r="J4" s="959"/>
      <c r="K4" s="959"/>
      <c r="L4" s="959"/>
      <c r="M4" s="959"/>
      <c r="N4" s="959"/>
      <c r="O4" s="959"/>
      <c r="P4" s="959"/>
      <c r="Q4" s="959"/>
      <c r="R4" s="959"/>
      <c r="S4" s="959"/>
      <c r="T4" s="959"/>
      <c r="U4" s="959"/>
      <c r="V4" s="959"/>
    </row>
    <row r="5" spans="1:26" s="2" customFormat="1" ht="15.75">
      <c r="I5" s="635"/>
      <c r="J5" s="635"/>
      <c r="K5" s="635"/>
      <c r="L5" s="635"/>
      <c r="M5" s="635"/>
      <c r="N5" s="635"/>
      <c r="O5" s="635"/>
      <c r="P5" s="635"/>
      <c r="Q5" s="635"/>
      <c r="R5" s="635"/>
      <c r="S5" s="635"/>
      <c r="T5" s="635"/>
      <c r="U5" s="635"/>
      <c r="V5" s="635"/>
    </row>
    <row r="6" spans="1:26" ht="15.75">
      <c r="I6" s="648" t="s">
        <v>641</v>
      </c>
      <c r="J6" s="652"/>
      <c r="K6" s="652"/>
      <c r="L6" s="652"/>
      <c r="M6" s="652"/>
      <c r="N6" s="652"/>
      <c r="O6" s="652"/>
      <c r="P6" s="652"/>
      <c r="Q6" s="652"/>
      <c r="R6" s="652"/>
      <c r="S6" s="652"/>
      <c r="T6" s="652"/>
      <c r="U6" s="652"/>
      <c r="V6" s="657" t="s">
        <v>642</v>
      </c>
    </row>
    <row r="7" spans="1:26" ht="26.25" customHeight="1" thickBot="1">
      <c r="I7" s="985" t="s">
        <v>314</v>
      </c>
      <c r="J7" s="969" t="s">
        <v>278</v>
      </c>
      <c r="K7" s="969"/>
      <c r="L7" s="969"/>
      <c r="M7" s="969"/>
      <c r="N7" s="969"/>
      <c r="O7" s="969"/>
      <c r="P7" s="969"/>
      <c r="Q7" s="969"/>
      <c r="R7" s="969"/>
      <c r="S7" s="969"/>
      <c r="T7" s="969"/>
      <c r="U7" s="969"/>
      <c r="V7" s="987" t="s">
        <v>565</v>
      </c>
    </row>
    <row r="8" spans="1:26" ht="44.25" customHeight="1">
      <c r="I8" s="986"/>
      <c r="J8" s="577">
        <v>-20</v>
      </c>
      <c r="K8" s="577" t="s">
        <v>269</v>
      </c>
      <c r="L8" s="577" t="s">
        <v>268</v>
      </c>
      <c r="M8" s="577" t="s">
        <v>267</v>
      </c>
      <c r="N8" s="577" t="s">
        <v>266</v>
      </c>
      <c r="O8" s="577" t="s">
        <v>265</v>
      </c>
      <c r="P8" s="577" t="s">
        <v>264</v>
      </c>
      <c r="Q8" s="577" t="s">
        <v>263</v>
      </c>
      <c r="R8" s="577" t="s">
        <v>262</v>
      </c>
      <c r="S8" s="577" t="s">
        <v>18</v>
      </c>
      <c r="T8" s="586" t="s">
        <v>8</v>
      </c>
      <c r="U8" s="583" t="s">
        <v>256</v>
      </c>
      <c r="V8" s="988"/>
    </row>
    <row r="9" spans="1:26" ht="18" customHeight="1" thickBot="1">
      <c r="I9" s="7" t="s">
        <v>751</v>
      </c>
      <c r="J9" s="152">
        <v>0</v>
      </c>
      <c r="K9" s="152">
        <v>0</v>
      </c>
      <c r="L9" s="152">
        <v>0</v>
      </c>
      <c r="M9" s="152">
        <v>0</v>
      </c>
      <c r="N9" s="152">
        <v>0</v>
      </c>
      <c r="O9" s="152">
        <v>0</v>
      </c>
      <c r="P9" s="152">
        <v>0</v>
      </c>
      <c r="Q9" s="152">
        <v>0</v>
      </c>
      <c r="R9" s="152">
        <v>0</v>
      </c>
      <c r="S9" s="152">
        <v>0</v>
      </c>
      <c r="T9" s="152">
        <v>0</v>
      </c>
      <c r="U9" s="8">
        <f>SUM(J9:T9)</f>
        <v>0</v>
      </c>
      <c r="V9" s="10" t="s">
        <v>751</v>
      </c>
    </row>
    <row r="10" spans="1:26" ht="18" customHeight="1" thickBot="1">
      <c r="I10" s="201" t="s">
        <v>269</v>
      </c>
      <c r="J10" s="401">
        <v>3</v>
      </c>
      <c r="K10" s="401">
        <v>24</v>
      </c>
      <c r="L10" s="401">
        <v>7</v>
      </c>
      <c r="M10" s="401">
        <v>0</v>
      </c>
      <c r="N10" s="401">
        <v>0</v>
      </c>
      <c r="O10" s="401">
        <v>0</v>
      </c>
      <c r="P10" s="401">
        <v>0</v>
      </c>
      <c r="Q10" s="401">
        <v>0</v>
      </c>
      <c r="R10" s="401">
        <v>0</v>
      </c>
      <c r="S10" s="401">
        <v>0</v>
      </c>
      <c r="T10" s="401">
        <v>0</v>
      </c>
      <c r="U10" s="8">
        <f t="shared" ref="U10:U22" si="0">SUM(J10:T10)</f>
        <v>34</v>
      </c>
      <c r="V10" s="202" t="s">
        <v>269</v>
      </c>
    </row>
    <row r="11" spans="1:26" ht="18" customHeight="1" thickBot="1">
      <c r="I11" s="201" t="s">
        <v>268</v>
      </c>
      <c r="J11" s="401">
        <v>3</v>
      </c>
      <c r="K11" s="401">
        <v>28</v>
      </c>
      <c r="L11" s="401">
        <v>24</v>
      </c>
      <c r="M11" s="401">
        <v>1</v>
      </c>
      <c r="N11" s="401">
        <v>0</v>
      </c>
      <c r="O11" s="401">
        <v>0</v>
      </c>
      <c r="P11" s="401">
        <v>0</v>
      </c>
      <c r="Q11" s="401">
        <v>0</v>
      </c>
      <c r="R11" s="401">
        <v>0</v>
      </c>
      <c r="S11" s="401">
        <v>0</v>
      </c>
      <c r="T11" s="401">
        <v>0</v>
      </c>
      <c r="U11" s="8">
        <f t="shared" si="0"/>
        <v>56</v>
      </c>
      <c r="V11" s="202" t="s">
        <v>268</v>
      </c>
    </row>
    <row r="12" spans="1:26" ht="18" customHeight="1" thickBot="1">
      <c r="I12" s="201" t="s">
        <v>267</v>
      </c>
      <c r="J12" s="401">
        <v>0</v>
      </c>
      <c r="K12" s="401">
        <v>6</v>
      </c>
      <c r="L12" s="401">
        <v>13</v>
      </c>
      <c r="M12" s="401">
        <v>11</v>
      </c>
      <c r="N12" s="401">
        <v>2</v>
      </c>
      <c r="O12" s="401">
        <v>1</v>
      </c>
      <c r="P12" s="401">
        <v>0</v>
      </c>
      <c r="Q12" s="401">
        <v>0</v>
      </c>
      <c r="R12" s="401">
        <v>0</v>
      </c>
      <c r="S12" s="401">
        <v>0</v>
      </c>
      <c r="T12" s="401">
        <v>0</v>
      </c>
      <c r="U12" s="8">
        <f t="shared" si="0"/>
        <v>33</v>
      </c>
      <c r="V12" s="202" t="s">
        <v>267</v>
      </c>
    </row>
    <row r="13" spans="1:26" ht="18" customHeight="1" thickBot="1">
      <c r="I13" s="201" t="s">
        <v>266</v>
      </c>
      <c r="J13" s="401">
        <v>0</v>
      </c>
      <c r="K13" s="401">
        <v>3</v>
      </c>
      <c r="L13" s="401">
        <v>2</v>
      </c>
      <c r="M13" s="401">
        <v>5</v>
      </c>
      <c r="N13" s="401">
        <v>4</v>
      </c>
      <c r="O13" s="401">
        <v>0</v>
      </c>
      <c r="P13" s="401">
        <v>0</v>
      </c>
      <c r="Q13" s="401">
        <v>0</v>
      </c>
      <c r="R13" s="401">
        <v>0</v>
      </c>
      <c r="S13" s="401">
        <v>0</v>
      </c>
      <c r="T13" s="401">
        <v>0</v>
      </c>
      <c r="U13" s="8">
        <f t="shared" si="0"/>
        <v>14</v>
      </c>
      <c r="V13" s="202" t="s">
        <v>266</v>
      </c>
    </row>
    <row r="14" spans="1:26" ht="18" customHeight="1" thickBot="1">
      <c r="I14" s="201" t="s">
        <v>265</v>
      </c>
      <c r="J14" s="401">
        <v>0</v>
      </c>
      <c r="K14" s="401">
        <v>0</v>
      </c>
      <c r="L14" s="401">
        <v>0</v>
      </c>
      <c r="M14" s="401">
        <v>1</v>
      </c>
      <c r="N14" s="401">
        <v>1</v>
      </c>
      <c r="O14" s="401">
        <v>0</v>
      </c>
      <c r="P14" s="401">
        <v>1</v>
      </c>
      <c r="Q14" s="401">
        <v>0</v>
      </c>
      <c r="R14" s="401">
        <v>0</v>
      </c>
      <c r="S14" s="401">
        <v>0</v>
      </c>
      <c r="T14" s="401">
        <v>0</v>
      </c>
      <c r="U14" s="8">
        <f t="shared" si="0"/>
        <v>3</v>
      </c>
      <c r="V14" s="202" t="s">
        <v>265</v>
      </c>
    </row>
    <row r="15" spans="1:26" ht="18" customHeight="1" thickBot="1">
      <c r="I15" s="201" t="s">
        <v>264</v>
      </c>
      <c r="J15" s="401">
        <v>0</v>
      </c>
      <c r="K15" s="401">
        <v>0</v>
      </c>
      <c r="L15" s="401">
        <v>0</v>
      </c>
      <c r="M15" s="401">
        <v>0</v>
      </c>
      <c r="N15" s="401">
        <v>2</v>
      </c>
      <c r="O15" s="401">
        <v>1</v>
      </c>
      <c r="P15" s="401">
        <v>1</v>
      </c>
      <c r="Q15" s="401">
        <v>0</v>
      </c>
      <c r="R15" s="401">
        <v>0</v>
      </c>
      <c r="S15" s="401">
        <v>0</v>
      </c>
      <c r="T15" s="401">
        <v>0</v>
      </c>
      <c r="U15" s="8">
        <f t="shared" si="0"/>
        <v>4</v>
      </c>
      <c r="V15" s="202" t="s">
        <v>264</v>
      </c>
    </row>
    <row r="16" spans="1:26" ht="18" customHeight="1" thickBot="1">
      <c r="I16" s="201" t="s">
        <v>263</v>
      </c>
      <c r="J16" s="401">
        <v>0</v>
      </c>
      <c r="K16" s="401">
        <v>0</v>
      </c>
      <c r="L16" s="401">
        <v>0</v>
      </c>
      <c r="M16" s="401">
        <v>0</v>
      </c>
      <c r="N16" s="401">
        <v>0</v>
      </c>
      <c r="O16" s="401">
        <v>1</v>
      </c>
      <c r="P16" s="401">
        <v>0</v>
      </c>
      <c r="Q16" s="401">
        <v>0</v>
      </c>
      <c r="R16" s="401">
        <v>0</v>
      </c>
      <c r="S16" s="401">
        <v>0</v>
      </c>
      <c r="T16" s="401">
        <v>0</v>
      </c>
      <c r="U16" s="8">
        <f t="shared" si="0"/>
        <v>1</v>
      </c>
      <c r="V16" s="202" t="s">
        <v>263</v>
      </c>
    </row>
    <row r="17" spans="9:22" ht="18" customHeight="1" thickBot="1">
      <c r="I17" s="201" t="s">
        <v>262</v>
      </c>
      <c r="J17" s="401">
        <v>0</v>
      </c>
      <c r="K17" s="401">
        <v>0</v>
      </c>
      <c r="L17" s="401">
        <v>0</v>
      </c>
      <c r="M17" s="401">
        <v>0</v>
      </c>
      <c r="N17" s="401">
        <v>0</v>
      </c>
      <c r="O17" s="401">
        <v>1</v>
      </c>
      <c r="P17" s="401">
        <v>0</v>
      </c>
      <c r="Q17" s="401">
        <v>2</v>
      </c>
      <c r="R17" s="401">
        <v>0</v>
      </c>
      <c r="S17" s="401">
        <v>0</v>
      </c>
      <c r="T17" s="401">
        <v>0</v>
      </c>
      <c r="U17" s="8">
        <f t="shared" si="0"/>
        <v>3</v>
      </c>
      <c r="V17" s="202" t="s">
        <v>262</v>
      </c>
    </row>
    <row r="18" spans="9:22" ht="18" customHeight="1" thickBot="1">
      <c r="I18" s="201" t="s">
        <v>261</v>
      </c>
      <c r="J18" s="401">
        <v>0</v>
      </c>
      <c r="K18" s="401">
        <v>0</v>
      </c>
      <c r="L18" s="401">
        <v>0</v>
      </c>
      <c r="M18" s="401">
        <v>0</v>
      </c>
      <c r="N18" s="401">
        <v>0</v>
      </c>
      <c r="O18" s="401">
        <v>0</v>
      </c>
      <c r="P18" s="401">
        <v>0</v>
      </c>
      <c r="Q18" s="401">
        <v>0</v>
      </c>
      <c r="R18" s="401">
        <v>0</v>
      </c>
      <c r="S18" s="401">
        <v>1</v>
      </c>
      <c r="T18" s="401">
        <v>0</v>
      </c>
      <c r="U18" s="8">
        <f t="shared" si="0"/>
        <v>1</v>
      </c>
      <c r="V18" s="202" t="s">
        <v>261</v>
      </c>
    </row>
    <row r="19" spans="9:22" ht="18" customHeight="1" thickBot="1">
      <c r="I19" s="201" t="s">
        <v>260</v>
      </c>
      <c r="J19" s="401">
        <v>0</v>
      </c>
      <c r="K19" s="401">
        <v>0</v>
      </c>
      <c r="L19" s="401">
        <v>0</v>
      </c>
      <c r="M19" s="401">
        <v>0</v>
      </c>
      <c r="N19" s="401">
        <v>0</v>
      </c>
      <c r="O19" s="401">
        <v>0</v>
      </c>
      <c r="P19" s="401">
        <v>0</v>
      </c>
      <c r="Q19" s="401">
        <v>0</v>
      </c>
      <c r="R19" s="401">
        <v>0</v>
      </c>
      <c r="S19" s="401">
        <v>0</v>
      </c>
      <c r="T19" s="401">
        <v>0</v>
      </c>
      <c r="U19" s="8">
        <f t="shared" si="0"/>
        <v>0</v>
      </c>
      <c r="V19" s="202" t="s">
        <v>260</v>
      </c>
    </row>
    <row r="20" spans="9:22" ht="18" customHeight="1" thickBot="1">
      <c r="I20" s="201" t="s">
        <v>259</v>
      </c>
      <c r="J20" s="401">
        <v>0</v>
      </c>
      <c r="K20" s="401">
        <v>0</v>
      </c>
      <c r="L20" s="401">
        <v>0</v>
      </c>
      <c r="M20" s="401">
        <v>0</v>
      </c>
      <c r="N20" s="401">
        <v>0</v>
      </c>
      <c r="O20" s="401">
        <v>0</v>
      </c>
      <c r="P20" s="401">
        <v>0</v>
      </c>
      <c r="Q20" s="401">
        <v>0</v>
      </c>
      <c r="R20" s="401">
        <v>0</v>
      </c>
      <c r="S20" s="401">
        <v>1</v>
      </c>
      <c r="T20" s="401">
        <v>0</v>
      </c>
      <c r="U20" s="8">
        <f t="shared" si="0"/>
        <v>1</v>
      </c>
      <c r="V20" s="202" t="s">
        <v>259</v>
      </c>
    </row>
    <row r="21" spans="9:22" ht="18" customHeight="1" thickBot="1">
      <c r="I21" s="201" t="s">
        <v>258</v>
      </c>
      <c r="J21" s="401">
        <v>0</v>
      </c>
      <c r="K21" s="401">
        <v>0</v>
      </c>
      <c r="L21" s="401">
        <v>0</v>
      </c>
      <c r="M21" s="401">
        <v>0</v>
      </c>
      <c r="N21" s="401">
        <v>0</v>
      </c>
      <c r="O21" s="401">
        <v>0</v>
      </c>
      <c r="P21" s="401">
        <v>0</v>
      </c>
      <c r="Q21" s="401">
        <v>0</v>
      </c>
      <c r="R21" s="401">
        <v>0</v>
      </c>
      <c r="S21" s="401">
        <v>1</v>
      </c>
      <c r="T21" s="401">
        <v>0</v>
      </c>
      <c r="U21" s="8">
        <f t="shared" si="0"/>
        <v>1</v>
      </c>
      <c r="V21" s="202" t="s">
        <v>258</v>
      </c>
    </row>
    <row r="22" spans="9:22" ht="18" customHeight="1" thickBot="1">
      <c r="I22" s="203" t="s">
        <v>19</v>
      </c>
      <c r="J22" s="402">
        <v>0</v>
      </c>
      <c r="K22" s="402">
        <v>0</v>
      </c>
      <c r="L22" s="402">
        <v>0</v>
      </c>
      <c r="M22" s="402">
        <v>0</v>
      </c>
      <c r="N22" s="402">
        <v>0</v>
      </c>
      <c r="O22" s="402">
        <v>0</v>
      </c>
      <c r="P22" s="402">
        <v>0</v>
      </c>
      <c r="Q22" s="402">
        <v>0</v>
      </c>
      <c r="R22" s="402">
        <v>0</v>
      </c>
      <c r="S22" s="402">
        <v>0</v>
      </c>
      <c r="T22" s="402">
        <v>0</v>
      </c>
      <c r="U22" s="8">
        <f t="shared" si="0"/>
        <v>0</v>
      </c>
      <c r="V22" s="204" t="s">
        <v>20</v>
      </c>
    </row>
    <row r="23" spans="9:22" ht="18" customHeight="1">
      <c r="I23" s="178" t="s">
        <v>21</v>
      </c>
      <c r="J23" s="207">
        <f>SUM(J9:J22)</f>
        <v>6</v>
      </c>
      <c r="K23" s="207">
        <f t="shared" ref="K23:T23" si="1">SUM(K9:K22)</f>
        <v>61</v>
      </c>
      <c r="L23" s="207">
        <f t="shared" si="1"/>
        <v>46</v>
      </c>
      <c r="M23" s="207">
        <f t="shared" si="1"/>
        <v>18</v>
      </c>
      <c r="N23" s="207">
        <f t="shared" si="1"/>
        <v>9</v>
      </c>
      <c r="O23" s="207">
        <f t="shared" si="1"/>
        <v>4</v>
      </c>
      <c r="P23" s="207">
        <f t="shared" si="1"/>
        <v>2</v>
      </c>
      <c r="Q23" s="207">
        <f t="shared" si="1"/>
        <v>2</v>
      </c>
      <c r="R23" s="207">
        <f t="shared" si="1"/>
        <v>0</v>
      </c>
      <c r="S23" s="207">
        <f t="shared" si="1"/>
        <v>3</v>
      </c>
      <c r="T23" s="207">
        <f t="shared" si="1"/>
        <v>0</v>
      </c>
      <c r="U23" s="207">
        <f>SUM(U9:U22)</f>
        <v>151</v>
      </c>
      <c r="V23" s="200" t="s">
        <v>176</v>
      </c>
    </row>
    <row r="28" spans="9:22" ht="102.75" thickBot="1">
      <c r="J28" s="74" t="s">
        <v>587</v>
      </c>
      <c r="K28" s="158" t="s">
        <v>586</v>
      </c>
    </row>
    <row r="29" spans="9:22" ht="15.75" thickBot="1">
      <c r="I29" s="157">
        <v>-20</v>
      </c>
      <c r="J29" s="1">
        <f>J23</f>
        <v>6</v>
      </c>
      <c r="K29" s="1">
        <f>U9</f>
        <v>0</v>
      </c>
    </row>
    <row r="30" spans="9:22" ht="15.75" thickBot="1">
      <c r="I30" s="157" t="s">
        <v>10</v>
      </c>
      <c r="J30" s="1">
        <f>K23</f>
        <v>61</v>
      </c>
      <c r="K30" s="1">
        <f t="shared" ref="K30:K37" si="2">U10</f>
        <v>34</v>
      </c>
    </row>
    <row r="31" spans="9:22" ht="15.75" thickBot="1">
      <c r="I31" s="157" t="s">
        <v>11</v>
      </c>
      <c r="J31" s="1">
        <f>L23</f>
        <v>46</v>
      </c>
      <c r="K31" s="1">
        <f t="shared" si="2"/>
        <v>56</v>
      </c>
    </row>
    <row r="32" spans="9:22" ht="15.75" thickBot="1">
      <c r="I32" s="157" t="s">
        <v>12</v>
      </c>
      <c r="J32" s="1">
        <f>M23</f>
        <v>18</v>
      </c>
      <c r="K32" s="1">
        <f t="shared" si="2"/>
        <v>33</v>
      </c>
    </row>
    <row r="33" spans="9:11" ht="15.75" thickBot="1">
      <c r="I33" s="157" t="s">
        <v>13</v>
      </c>
      <c r="J33" s="1">
        <f>N23</f>
        <v>9</v>
      </c>
      <c r="K33" s="1">
        <f t="shared" si="2"/>
        <v>14</v>
      </c>
    </row>
    <row r="34" spans="9:11" ht="15.75" thickBot="1">
      <c r="I34" s="157" t="s">
        <v>14</v>
      </c>
      <c r="J34" s="1">
        <f>O23</f>
        <v>4</v>
      </c>
      <c r="K34" s="1">
        <f t="shared" si="2"/>
        <v>3</v>
      </c>
    </row>
    <row r="35" spans="9:11" ht="15.75" thickBot="1">
      <c r="I35" s="157" t="s">
        <v>15</v>
      </c>
      <c r="J35" s="1">
        <f>P23</f>
        <v>2</v>
      </c>
      <c r="K35" s="1">
        <f t="shared" si="2"/>
        <v>4</v>
      </c>
    </row>
    <row r="36" spans="9:11" ht="15.75" thickBot="1">
      <c r="I36" s="157" t="s">
        <v>16</v>
      </c>
      <c r="J36" s="1">
        <f>Q23</f>
        <v>2</v>
      </c>
      <c r="K36" s="1">
        <f t="shared" si="2"/>
        <v>1</v>
      </c>
    </row>
    <row r="37" spans="9:11" ht="15.75" thickBot="1">
      <c r="I37" s="157" t="s">
        <v>17</v>
      </c>
      <c r="J37" s="1">
        <f>R23</f>
        <v>0</v>
      </c>
      <c r="K37" s="1">
        <f t="shared" si="2"/>
        <v>3</v>
      </c>
    </row>
    <row r="38" spans="9:11" ht="15.75" thickBot="1">
      <c r="I38" s="157" t="s">
        <v>18</v>
      </c>
      <c r="J38" s="1">
        <f>S23</f>
        <v>3</v>
      </c>
      <c r="K38" s="1">
        <f>U18+U19+U20+U21+U22</f>
        <v>3</v>
      </c>
    </row>
    <row r="39" spans="9:11">
      <c r="J39" s="1">
        <f>SUM(J29:J38)</f>
        <v>151</v>
      </c>
      <c r="K39" s="1">
        <f>SUM(K29:K38)</f>
        <v>151</v>
      </c>
    </row>
  </sheetData>
  <mergeCells count="7">
    <mergeCell ref="I7:I8"/>
    <mergeCell ref="J7:U7"/>
    <mergeCell ref="V7:V8"/>
    <mergeCell ref="I1:V1"/>
    <mergeCell ref="I2:V2"/>
    <mergeCell ref="I3:V3"/>
    <mergeCell ref="I4:V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6:N36"/>
  <sheetViews>
    <sheetView rightToLeft="1" view="pageBreakPreview" zoomScaleNormal="100" zoomScaleSheetLayoutView="100" workbookViewId="0">
      <selection activeCell="P12" sqref="P12"/>
    </sheetView>
  </sheetViews>
  <sheetFormatPr defaultColWidth="9.140625" defaultRowHeight="12.75"/>
  <cols>
    <col min="1" max="16384" width="9.140625" style="1"/>
  </cols>
  <sheetData>
    <row r="36" spans="1:14" ht="15.75">
      <c r="A36" s="945" t="s">
        <v>591</v>
      </c>
      <c r="B36" s="945"/>
      <c r="C36" s="945"/>
      <c r="D36" s="945"/>
      <c r="E36" s="945"/>
      <c r="F36" s="945"/>
      <c r="G36" s="945"/>
      <c r="H36" s="945"/>
      <c r="I36" s="945"/>
      <c r="J36" s="945"/>
      <c r="K36" s="945"/>
      <c r="L36" s="945"/>
      <c r="M36" s="945"/>
      <c r="N36" s="945"/>
    </row>
  </sheetData>
  <mergeCells count="1">
    <mergeCell ref="A36:N36"/>
  </mergeCells>
  <printOptions horizontalCentered="1" verticalCentered="1"/>
  <pageMargins left="0" right="0" top="0" bottom="0" header="0" footer="0"/>
  <pageSetup paperSize="9" orientation="landscape"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8"/>
  <sheetViews>
    <sheetView rightToLeft="1" view="pageBreakPreview" zoomScaleNormal="100" zoomScaleSheetLayoutView="100" workbookViewId="0">
      <selection activeCell="R9" sqref="R9"/>
    </sheetView>
  </sheetViews>
  <sheetFormatPr defaultColWidth="9.140625" defaultRowHeight="12.75"/>
  <cols>
    <col min="1" max="1" width="19.28515625" style="1" customWidth="1"/>
    <col min="2" max="2" width="7" style="1" customWidth="1"/>
    <col min="3" max="3" width="7.85546875" style="1" customWidth="1"/>
    <col min="4" max="4" width="8.140625" style="1" customWidth="1"/>
    <col min="5" max="5" width="7.85546875" style="1" customWidth="1"/>
    <col min="6" max="6" width="8.7109375" style="1" customWidth="1"/>
    <col min="7" max="7" width="7.85546875" style="1" customWidth="1"/>
    <col min="8" max="10" width="8" style="1" customWidth="1"/>
    <col min="11" max="11" width="6.28515625" style="1" customWidth="1"/>
    <col min="12" max="12" width="10.140625" style="1" customWidth="1"/>
    <col min="13" max="13" width="8.7109375" style="1" customWidth="1"/>
    <col min="14" max="14" width="21" style="1" customWidth="1"/>
    <col min="15" max="16384" width="9.140625" style="1"/>
  </cols>
  <sheetData>
    <row r="1" spans="1:22" s="2" customFormat="1" ht="21.75" customHeight="1">
      <c r="A1" s="1058" t="s">
        <v>590</v>
      </c>
      <c r="B1" s="1058"/>
      <c r="C1" s="1058"/>
      <c r="D1" s="1058"/>
      <c r="E1" s="1058"/>
      <c r="F1" s="1058"/>
      <c r="G1" s="1058"/>
      <c r="H1" s="1058"/>
      <c r="I1" s="934"/>
      <c r="J1" s="934"/>
      <c r="K1" s="934"/>
      <c r="L1" s="934"/>
      <c r="M1" s="934"/>
      <c r="N1" s="934"/>
      <c r="O1" s="658"/>
      <c r="P1" s="658"/>
      <c r="Q1" s="658"/>
      <c r="R1" s="658"/>
      <c r="S1" s="658"/>
      <c r="T1" s="658"/>
      <c r="U1" s="658"/>
      <c r="V1" s="658"/>
    </row>
    <row r="2" spans="1:22" s="2" customFormat="1" ht="15.75" customHeight="1">
      <c r="A2" s="1069" t="s">
        <v>589</v>
      </c>
      <c r="B2" s="1069"/>
      <c r="C2" s="1069"/>
      <c r="D2" s="1069"/>
      <c r="E2" s="1069"/>
      <c r="F2" s="1069"/>
      <c r="G2" s="1069"/>
      <c r="H2" s="1069"/>
      <c r="I2" s="958"/>
      <c r="J2" s="958"/>
      <c r="K2" s="958"/>
      <c r="L2" s="958"/>
      <c r="M2" s="958"/>
      <c r="N2" s="958"/>
      <c r="O2" s="658"/>
      <c r="P2" s="658"/>
      <c r="Q2" s="658"/>
      <c r="R2" s="658"/>
      <c r="S2" s="658"/>
      <c r="T2" s="658"/>
      <c r="U2" s="658"/>
      <c r="V2" s="658"/>
    </row>
    <row r="3" spans="1:22" s="2" customFormat="1" ht="18" customHeight="1">
      <c r="A3" s="1059">
        <v>2015</v>
      </c>
      <c r="B3" s="1059"/>
      <c r="C3" s="1059"/>
      <c r="D3" s="1059"/>
      <c r="E3" s="1059"/>
      <c r="F3" s="1059"/>
      <c r="G3" s="1059"/>
      <c r="H3" s="1059"/>
      <c r="I3" s="959"/>
      <c r="J3" s="959"/>
      <c r="K3" s="959"/>
      <c r="L3" s="959"/>
      <c r="M3" s="959"/>
      <c r="N3" s="959"/>
      <c r="O3" s="659"/>
      <c r="P3" s="659"/>
      <c r="Q3" s="659"/>
      <c r="R3" s="659"/>
      <c r="S3" s="658"/>
      <c r="T3" s="658"/>
      <c r="U3" s="658"/>
      <c r="V3" s="658"/>
    </row>
    <row r="4" spans="1:22" s="2" customFormat="1" ht="15.75">
      <c r="A4" s="1059" t="s">
        <v>592</v>
      </c>
      <c r="B4" s="1059"/>
      <c r="C4" s="1059"/>
      <c r="D4" s="1059"/>
      <c r="E4" s="1059"/>
      <c r="F4" s="1059"/>
      <c r="G4" s="1059"/>
      <c r="H4" s="1059"/>
      <c r="I4" s="959"/>
      <c r="J4" s="959"/>
      <c r="K4" s="959"/>
      <c r="L4" s="959"/>
      <c r="M4" s="959"/>
      <c r="N4" s="959"/>
      <c r="O4" s="658"/>
      <c r="P4" s="658"/>
      <c r="Q4" s="658"/>
      <c r="R4" s="658"/>
      <c r="S4" s="658"/>
      <c r="T4" s="658"/>
      <c r="U4" s="658"/>
      <c r="V4" s="658"/>
    </row>
    <row r="5" spans="1:22" s="2" customFormat="1" ht="15.75">
      <c r="A5" s="629"/>
      <c r="B5" s="629"/>
      <c r="C5" s="629"/>
      <c r="D5" s="629"/>
      <c r="E5" s="629"/>
      <c r="F5" s="629"/>
      <c r="G5" s="629"/>
      <c r="H5" s="629"/>
      <c r="I5" s="635"/>
      <c r="J5" s="635"/>
      <c r="K5" s="635"/>
      <c r="L5" s="635"/>
      <c r="M5" s="635"/>
      <c r="N5" s="635"/>
      <c r="O5" s="658"/>
      <c r="P5" s="658"/>
      <c r="Q5" s="658"/>
      <c r="R5" s="658"/>
      <c r="S5" s="658"/>
      <c r="T5" s="658"/>
      <c r="U5" s="658"/>
      <c r="V5" s="658"/>
    </row>
    <row r="6" spans="1:22" ht="15.75">
      <c r="A6" s="4" t="s">
        <v>645</v>
      </c>
      <c r="B6" s="5"/>
      <c r="C6" s="5"/>
      <c r="D6" s="5"/>
      <c r="E6" s="5"/>
      <c r="F6" s="5"/>
      <c r="G6" s="5"/>
      <c r="H6" s="5"/>
      <c r="I6" s="652"/>
      <c r="J6" s="652"/>
      <c r="K6" s="652"/>
      <c r="L6" s="652"/>
      <c r="M6" s="652"/>
      <c r="N6" s="657" t="s">
        <v>646</v>
      </c>
      <c r="O6" s="175"/>
      <c r="P6" s="175"/>
      <c r="Q6" s="175"/>
      <c r="R6" s="175"/>
      <c r="S6" s="175"/>
      <c r="T6" s="175"/>
      <c r="U6" s="175"/>
      <c r="V6" s="175"/>
    </row>
    <row r="7" spans="1:22" ht="26.25" customHeight="1">
      <c r="A7" s="1062" t="s">
        <v>314</v>
      </c>
      <c r="B7" s="1064" t="s">
        <v>278</v>
      </c>
      <c r="C7" s="1065"/>
      <c r="D7" s="1065"/>
      <c r="E7" s="1065"/>
      <c r="F7" s="1065"/>
      <c r="G7" s="1065"/>
      <c r="H7" s="1065"/>
      <c r="I7" s="1065"/>
      <c r="J7" s="1065"/>
      <c r="K7" s="1065"/>
      <c r="L7" s="1065"/>
      <c r="M7" s="1066"/>
      <c r="N7" s="1067" t="s">
        <v>565</v>
      </c>
    </row>
    <row r="8" spans="1:22" ht="44.25" customHeight="1">
      <c r="A8" s="1063"/>
      <c r="B8" s="577">
        <v>-20</v>
      </c>
      <c r="C8" s="577" t="s">
        <v>10</v>
      </c>
      <c r="D8" s="577" t="s">
        <v>11</v>
      </c>
      <c r="E8" s="577" t="s">
        <v>12</v>
      </c>
      <c r="F8" s="577" t="s">
        <v>13</v>
      </c>
      <c r="G8" s="577" t="s">
        <v>14</v>
      </c>
      <c r="H8" s="577" t="s">
        <v>15</v>
      </c>
      <c r="I8" s="577" t="s">
        <v>16</v>
      </c>
      <c r="J8" s="577" t="s">
        <v>17</v>
      </c>
      <c r="K8" s="577" t="s">
        <v>18</v>
      </c>
      <c r="L8" s="586" t="s">
        <v>8</v>
      </c>
      <c r="M8" s="583" t="s">
        <v>256</v>
      </c>
      <c r="N8" s="1068"/>
    </row>
    <row r="9" spans="1:22" ht="18" customHeight="1" thickBot="1">
      <c r="A9" s="223" t="s">
        <v>751</v>
      </c>
      <c r="B9" s="152">
        <v>1</v>
      </c>
      <c r="C9" s="152">
        <v>0</v>
      </c>
      <c r="D9" s="152">
        <v>0</v>
      </c>
      <c r="E9" s="152">
        <v>0</v>
      </c>
      <c r="F9" s="152">
        <v>0</v>
      </c>
      <c r="G9" s="152">
        <v>0</v>
      </c>
      <c r="H9" s="152">
        <v>0</v>
      </c>
      <c r="I9" s="152">
        <v>0</v>
      </c>
      <c r="J9" s="152">
        <v>0</v>
      </c>
      <c r="K9" s="152">
        <v>0</v>
      </c>
      <c r="L9" s="152">
        <v>0</v>
      </c>
      <c r="M9" s="8">
        <f>SUM(B9:L9)</f>
        <v>1</v>
      </c>
      <c r="N9" s="10" t="s">
        <v>751</v>
      </c>
    </row>
    <row r="10" spans="1:22" ht="18" customHeight="1" thickBot="1">
      <c r="A10" s="201" t="s">
        <v>269</v>
      </c>
      <c r="B10" s="401">
        <v>6</v>
      </c>
      <c r="C10" s="401">
        <v>17</v>
      </c>
      <c r="D10" s="401">
        <v>3</v>
      </c>
      <c r="E10" s="401">
        <v>1</v>
      </c>
      <c r="F10" s="401">
        <v>0</v>
      </c>
      <c r="G10" s="401">
        <v>0</v>
      </c>
      <c r="H10" s="401">
        <v>0</v>
      </c>
      <c r="I10" s="401">
        <v>0</v>
      </c>
      <c r="J10" s="401">
        <v>0</v>
      </c>
      <c r="K10" s="401">
        <v>0</v>
      </c>
      <c r="L10" s="401">
        <v>0</v>
      </c>
      <c r="M10" s="8">
        <f t="shared" ref="M10:M22" si="0">SUM(B10:L10)</f>
        <v>27</v>
      </c>
      <c r="N10" s="202" t="s">
        <v>269</v>
      </c>
    </row>
    <row r="11" spans="1:22" ht="18" customHeight="1" thickBot="1">
      <c r="A11" s="201" t="s">
        <v>268</v>
      </c>
      <c r="B11" s="401">
        <v>3</v>
      </c>
      <c r="C11" s="401">
        <v>13</v>
      </c>
      <c r="D11" s="401">
        <v>20</v>
      </c>
      <c r="E11" s="401">
        <v>6</v>
      </c>
      <c r="F11" s="401">
        <v>0</v>
      </c>
      <c r="G11" s="401">
        <v>0</v>
      </c>
      <c r="H11" s="401">
        <v>0</v>
      </c>
      <c r="I11" s="401">
        <v>0</v>
      </c>
      <c r="J11" s="401">
        <v>0</v>
      </c>
      <c r="K11" s="401">
        <v>0</v>
      </c>
      <c r="L11" s="401">
        <v>0</v>
      </c>
      <c r="M11" s="8">
        <f t="shared" si="0"/>
        <v>42</v>
      </c>
      <c r="N11" s="202" t="s">
        <v>268</v>
      </c>
    </row>
    <row r="12" spans="1:22" ht="18" customHeight="1" thickBot="1">
      <c r="A12" s="201" t="s">
        <v>267</v>
      </c>
      <c r="B12" s="401">
        <v>1</v>
      </c>
      <c r="C12" s="401">
        <v>0</v>
      </c>
      <c r="D12" s="401">
        <v>12</v>
      </c>
      <c r="E12" s="401">
        <v>7</v>
      </c>
      <c r="F12" s="401">
        <v>2</v>
      </c>
      <c r="G12" s="401">
        <v>1</v>
      </c>
      <c r="H12" s="401">
        <v>0</v>
      </c>
      <c r="I12" s="401">
        <v>0</v>
      </c>
      <c r="J12" s="401">
        <v>0</v>
      </c>
      <c r="K12" s="401">
        <v>0</v>
      </c>
      <c r="L12" s="401">
        <v>0</v>
      </c>
      <c r="M12" s="8">
        <f t="shared" si="0"/>
        <v>23</v>
      </c>
      <c r="N12" s="202" t="s">
        <v>267</v>
      </c>
    </row>
    <row r="13" spans="1:22" ht="18" customHeight="1" thickBot="1">
      <c r="A13" s="201" t="s">
        <v>266</v>
      </c>
      <c r="B13" s="401">
        <v>0</v>
      </c>
      <c r="C13" s="401">
        <v>0</v>
      </c>
      <c r="D13" s="401">
        <v>1</v>
      </c>
      <c r="E13" s="401">
        <v>6</v>
      </c>
      <c r="F13" s="401">
        <v>2</v>
      </c>
      <c r="G13" s="401">
        <v>0</v>
      </c>
      <c r="H13" s="401">
        <v>0</v>
      </c>
      <c r="I13" s="401">
        <v>0</v>
      </c>
      <c r="J13" s="401">
        <v>0</v>
      </c>
      <c r="K13" s="401">
        <v>0</v>
      </c>
      <c r="L13" s="401">
        <v>0</v>
      </c>
      <c r="M13" s="8">
        <f t="shared" si="0"/>
        <v>9</v>
      </c>
      <c r="N13" s="202" t="s">
        <v>266</v>
      </c>
    </row>
    <row r="14" spans="1:22" ht="18" customHeight="1" thickBot="1">
      <c r="A14" s="201" t="s">
        <v>265</v>
      </c>
      <c r="B14" s="401">
        <v>0</v>
      </c>
      <c r="C14" s="401">
        <v>0</v>
      </c>
      <c r="D14" s="401">
        <v>0</v>
      </c>
      <c r="E14" s="401">
        <v>2</v>
      </c>
      <c r="F14" s="401">
        <v>6</v>
      </c>
      <c r="G14" s="401">
        <v>2</v>
      </c>
      <c r="H14" s="401">
        <v>1</v>
      </c>
      <c r="I14" s="401">
        <v>0</v>
      </c>
      <c r="J14" s="401">
        <v>0</v>
      </c>
      <c r="K14" s="401">
        <v>0</v>
      </c>
      <c r="L14" s="401">
        <v>0</v>
      </c>
      <c r="M14" s="8">
        <f t="shared" si="0"/>
        <v>11</v>
      </c>
      <c r="N14" s="202" t="s">
        <v>265</v>
      </c>
    </row>
    <row r="15" spans="1:22" ht="18" customHeight="1" thickBot="1">
      <c r="A15" s="201" t="s">
        <v>264</v>
      </c>
      <c r="B15" s="401">
        <v>0</v>
      </c>
      <c r="C15" s="401">
        <v>0</v>
      </c>
      <c r="D15" s="401">
        <v>1</v>
      </c>
      <c r="E15" s="401">
        <v>0</v>
      </c>
      <c r="F15" s="401">
        <v>3</v>
      </c>
      <c r="G15" s="401">
        <v>0</v>
      </c>
      <c r="H15" s="401">
        <v>3</v>
      </c>
      <c r="I15" s="401">
        <v>1</v>
      </c>
      <c r="J15" s="401">
        <v>0</v>
      </c>
      <c r="K15" s="401">
        <v>0</v>
      </c>
      <c r="L15" s="401">
        <v>0</v>
      </c>
      <c r="M15" s="8">
        <f t="shared" si="0"/>
        <v>8</v>
      </c>
      <c r="N15" s="202" t="s">
        <v>264</v>
      </c>
    </row>
    <row r="16" spans="1:22" ht="18" customHeight="1" thickBot="1">
      <c r="A16" s="201" t="s">
        <v>263</v>
      </c>
      <c r="B16" s="401">
        <v>0</v>
      </c>
      <c r="C16" s="401">
        <v>0</v>
      </c>
      <c r="D16" s="401">
        <v>0</v>
      </c>
      <c r="E16" s="401">
        <v>0</v>
      </c>
      <c r="F16" s="401">
        <v>0</v>
      </c>
      <c r="G16" s="401">
        <v>1</v>
      </c>
      <c r="H16" s="401">
        <v>1</v>
      </c>
      <c r="I16" s="401">
        <v>0</v>
      </c>
      <c r="J16" s="401">
        <v>0</v>
      </c>
      <c r="K16" s="401">
        <v>0</v>
      </c>
      <c r="L16" s="401">
        <v>0</v>
      </c>
      <c r="M16" s="8">
        <f t="shared" si="0"/>
        <v>2</v>
      </c>
      <c r="N16" s="202" t="s">
        <v>263</v>
      </c>
    </row>
    <row r="17" spans="1:14" ht="18" customHeight="1" thickBot="1">
      <c r="A17" s="201" t="s">
        <v>262</v>
      </c>
      <c r="B17" s="401">
        <v>0</v>
      </c>
      <c r="C17" s="401">
        <v>0</v>
      </c>
      <c r="D17" s="401">
        <v>0</v>
      </c>
      <c r="E17" s="401">
        <v>0</v>
      </c>
      <c r="F17" s="401">
        <v>0</v>
      </c>
      <c r="G17" s="401">
        <v>0</v>
      </c>
      <c r="H17" s="401">
        <v>1</v>
      </c>
      <c r="I17" s="401">
        <v>2</v>
      </c>
      <c r="J17" s="401">
        <v>3</v>
      </c>
      <c r="K17" s="401">
        <v>0</v>
      </c>
      <c r="L17" s="401">
        <v>0</v>
      </c>
      <c r="M17" s="8">
        <f t="shared" si="0"/>
        <v>6</v>
      </c>
      <c r="N17" s="202" t="s">
        <v>262</v>
      </c>
    </row>
    <row r="18" spans="1:14" ht="18" customHeight="1" thickBot="1">
      <c r="A18" s="201" t="s">
        <v>261</v>
      </c>
      <c r="B18" s="401">
        <v>0</v>
      </c>
      <c r="C18" s="401">
        <v>0</v>
      </c>
      <c r="D18" s="401">
        <v>0</v>
      </c>
      <c r="E18" s="401">
        <v>0</v>
      </c>
      <c r="F18" s="401">
        <v>0</v>
      </c>
      <c r="G18" s="401">
        <v>0</v>
      </c>
      <c r="H18" s="401">
        <v>1</v>
      </c>
      <c r="I18" s="401">
        <v>1</v>
      </c>
      <c r="J18" s="401">
        <v>0</v>
      </c>
      <c r="K18" s="401">
        <v>0</v>
      </c>
      <c r="L18" s="401">
        <v>0</v>
      </c>
      <c r="M18" s="8">
        <f t="shared" si="0"/>
        <v>2</v>
      </c>
      <c r="N18" s="202" t="s">
        <v>261</v>
      </c>
    </row>
    <row r="19" spans="1:14" ht="18" customHeight="1" thickBot="1">
      <c r="A19" s="201" t="s">
        <v>260</v>
      </c>
      <c r="B19" s="401">
        <v>0</v>
      </c>
      <c r="C19" s="401">
        <v>0</v>
      </c>
      <c r="D19" s="401">
        <v>0</v>
      </c>
      <c r="E19" s="401">
        <v>0</v>
      </c>
      <c r="F19" s="401">
        <v>0</v>
      </c>
      <c r="G19" s="401">
        <v>0</v>
      </c>
      <c r="H19" s="401">
        <v>0</v>
      </c>
      <c r="I19" s="401">
        <v>1</v>
      </c>
      <c r="J19" s="401">
        <v>0</v>
      </c>
      <c r="K19" s="401">
        <v>1</v>
      </c>
      <c r="L19" s="401">
        <v>0</v>
      </c>
      <c r="M19" s="8">
        <f t="shared" si="0"/>
        <v>2</v>
      </c>
      <c r="N19" s="202" t="s">
        <v>260</v>
      </c>
    </row>
    <row r="20" spans="1:14" ht="18" customHeight="1" thickBot="1">
      <c r="A20" s="201" t="s">
        <v>259</v>
      </c>
      <c r="B20" s="401">
        <v>0</v>
      </c>
      <c r="C20" s="401">
        <v>0</v>
      </c>
      <c r="D20" s="401">
        <v>0</v>
      </c>
      <c r="E20" s="401">
        <v>1</v>
      </c>
      <c r="F20" s="401">
        <v>0</v>
      </c>
      <c r="G20" s="401">
        <v>0</v>
      </c>
      <c r="H20" s="401">
        <v>1</v>
      </c>
      <c r="I20" s="401">
        <v>0</v>
      </c>
      <c r="J20" s="401">
        <v>1</v>
      </c>
      <c r="K20" s="401">
        <v>2</v>
      </c>
      <c r="L20" s="401">
        <v>0</v>
      </c>
      <c r="M20" s="8">
        <f t="shared" si="0"/>
        <v>5</v>
      </c>
      <c r="N20" s="202" t="s">
        <v>259</v>
      </c>
    </row>
    <row r="21" spans="1:14" ht="18" customHeight="1" thickBot="1">
      <c r="A21" s="201" t="s">
        <v>258</v>
      </c>
      <c r="B21" s="401">
        <v>0</v>
      </c>
      <c r="C21" s="401">
        <v>0</v>
      </c>
      <c r="D21" s="401">
        <v>0</v>
      </c>
      <c r="E21" s="401">
        <v>0</v>
      </c>
      <c r="F21" s="401">
        <v>0</v>
      </c>
      <c r="G21" s="401">
        <v>0</v>
      </c>
      <c r="H21" s="401">
        <v>0</v>
      </c>
      <c r="I21" s="401">
        <v>0</v>
      </c>
      <c r="J21" s="401">
        <v>0</v>
      </c>
      <c r="K21" s="401">
        <v>0</v>
      </c>
      <c r="L21" s="401">
        <v>0</v>
      </c>
      <c r="M21" s="8">
        <f t="shared" si="0"/>
        <v>0</v>
      </c>
      <c r="N21" s="202" t="s">
        <v>258</v>
      </c>
    </row>
    <row r="22" spans="1:14" ht="18" customHeight="1" thickBot="1">
      <c r="A22" s="203" t="s">
        <v>19</v>
      </c>
      <c r="B22" s="402">
        <v>0</v>
      </c>
      <c r="C22" s="402">
        <v>0</v>
      </c>
      <c r="D22" s="402">
        <v>0</v>
      </c>
      <c r="E22" s="402">
        <v>0</v>
      </c>
      <c r="F22" s="402">
        <v>0</v>
      </c>
      <c r="G22" s="402">
        <v>0</v>
      </c>
      <c r="H22" s="402">
        <v>0</v>
      </c>
      <c r="I22" s="402">
        <v>0</v>
      </c>
      <c r="J22" s="402">
        <v>0</v>
      </c>
      <c r="K22" s="402">
        <v>0</v>
      </c>
      <c r="L22" s="402">
        <v>0</v>
      </c>
      <c r="M22" s="8">
        <f t="shared" si="0"/>
        <v>0</v>
      </c>
      <c r="N22" s="204" t="s">
        <v>20</v>
      </c>
    </row>
    <row r="23" spans="1:14" ht="18" customHeight="1">
      <c r="A23" s="178" t="s">
        <v>21</v>
      </c>
      <c r="B23" s="207">
        <f>SUM(B9:B22)</f>
        <v>11</v>
      </c>
      <c r="C23" s="207">
        <f>SUM(C9:C22)</f>
        <v>30</v>
      </c>
      <c r="D23" s="207">
        <f t="shared" ref="D23:L23" si="1">SUM(D9:D22)</f>
        <v>37</v>
      </c>
      <c r="E23" s="207">
        <f t="shared" si="1"/>
        <v>23</v>
      </c>
      <c r="F23" s="207">
        <f t="shared" si="1"/>
        <v>13</v>
      </c>
      <c r="G23" s="207">
        <f t="shared" si="1"/>
        <v>4</v>
      </c>
      <c r="H23" s="207">
        <f t="shared" si="1"/>
        <v>8</v>
      </c>
      <c r="I23" s="207">
        <f t="shared" si="1"/>
        <v>5</v>
      </c>
      <c r="J23" s="207">
        <f t="shared" si="1"/>
        <v>4</v>
      </c>
      <c r="K23" s="207">
        <f t="shared" si="1"/>
        <v>3</v>
      </c>
      <c r="L23" s="207">
        <f t="shared" si="1"/>
        <v>0</v>
      </c>
      <c r="M23" s="207">
        <f>SUM(M9:M22)</f>
        <v>138</v>
      </c>
      <c r="N23" s="200" t="s">
        <v>176</v>
      </c>
    </row>
    <row r="26" spans="1:14" ht="53.25" customHeight="1" thickBot="1">
      <c r="B26" s="74" t="s">
        <v>587</v>
      </c>
      <c r="C26" s="74" t="s">
        <v>586</v>
      </c>
    </row>
    <row r="27" spans="1:14" ht="15.75" thickBot="1">
      <c r="A27" s="157">
        <v>-20</v>
      </c>
      <c r="B27" s="1">
        <f>B23</f>
        <v>11</v>
      </c>
      <c r="C27" s="1">
        <f t="shared" ref="C27:C35" si="2">M9</f>
        <v>1</v>
      </c>
    </row>
    <row r="28" spans="1:14" ht="15.75" thickBot="1">
      <c r="A28" s="157" t="s">
        <v>10</v>
      </c>
      <c r="B28" s="158">
        <f>C23</f>
        <v>30</v>
      </c>
      <c r="C28" s="74">
        <f t="shared" si="2"/>
        <v>27</v>
      </c>
    </row>
    <row r="29" spans="1:14" ht="15.75" thickBot="1">
      <c r="A29" s="157" t="s">
        <v>11</v>
      </c>
      <c r="B29" s="1">
        <f>D23</f>
        <v>37</v>
      </c>
      <c r="C29" s="1">
        <f t="shared" si="2"/>
        <v>42</v>
      </c>
    </row>
    <row r="30" spans="1:14" ht="15.75" thickBot="1">
      <c r="A30" s="157" t="s">
        <v>12</v>
      </c>
      <c r="B30" s="1">
        <f>E23</f>
        <v>23</v>
      </c>
      <c r="C30" s="1">
        <f t="shared" si="2"/>
        <v>23</v>
      </c>
    </row>
    <row r="31" spans="1:14" ht="15.75" thickBot="1">
      <c r="A31" s="157" t="s">
        <v>13</v>
      </c>
      <c r="B31" s="1">
        <f>F23</f>
        <v>13</v>
      </c>
      <c r="C31" s="1">
        <f t="shared" si="2"/>
        <v>9</v>
      </c>
    </row>
    <row r="32" spans="1:14" ht="15.75" thickBot="1">
      <c r="A32" s="157" t="s">
        <v>14</v>
      </c>
      <c r="B32" s="1">
        <f>G23</f>
        <v>4</v>
      </c>
      <c r="C32" s="1">
        <f t="shared" si="2"/>
        <v>11</v>
      </c>
    </row>
    <row r="33" spans="1:4" ht="15.75" thickBot="1">
      <c r="A33" s="157" t="s">
        <v>15</v>
      </c>
      <c r="B33" s="1">
        <f>H23</f>
        <v>8</v>
      </c>
      <c r="C33" s="1">
        <f t="shared" si="2"/>
        <v>8</v>
      </c>
    </row>
    <row r="34" spans="1:4" ht="15.75" thickBot="1">
      <c r="A34" s="157" t="s">
        <v>16</v>
      </c>
      <c r="B34" s="1">
        <f>I23</f>
        <v>5</v>
      </c>
      <c r="C34" s="1">
        <f t="shared" si="2"/>
        <v>2</v>
      </c>
    </row>
    <row r="35" spans="1:4" ht="15.75" thickBot="1">
      <c r="A35" s="157" t="s">
        <v>17</v>
      </c>
      <c r="B35" s="1">
        <f>J23</f>
        <v>4</v>
      </c>
      <c r="C35" s="1">
        <f t="shared" si="2"/>
        <v>6</v>
      </c>
    </row>
    <row r="36" spans="1:4" ht="15.75" thickBot="1">
      <c r="A36" s="157" t="s">
        <v>18</v>
      </c>
      <c r="B36" s="1">
        <f>K23</f>
        <v>3</v>
      </c>
      <c r="C36" s="1">
        <f>SUM(M18:M19)</f>
        <v>4</v>
      </c>
    </row>
    <row r="37" spans="1:4" ht="15.75" thickBot="1">
      <c r="A37" s="157"/>
      <c r="B37" s="1">
        <f>SUM(B27:B36)</f>
        <v>138</v>
      </c>
      <c r="C37" s="1">
        <f>SUM(C27:C36)</f>
        <v>133</v>
      </c>
    </row>
    <row r="38" spans="1:4" ht="15.75" thickBot="1">
      <c r="D38" s="157"/>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6:N36"/>
  <sheetViews>
    <sheetView rightToLeft="1" view="pageBreakPreview" zoomScaleNormal="100" zoomScaleSheetLayoutView="100" workbookViewId="0">
      <selection activeCell="P10" sqref="P10"/>
    </sheetView>
  </sheetViews>
  <sheetFormatPr defaultColWidth="9.140625" defaultRowHeight="12.75"/>
  <cols>
    <col min="1" max="16384" width="9.140625" style="1"/>
  </cols>
  <sheetData>
    <row r="36" spans="1:14" ht="15.75">
      <c r="A36" s="945" t="s">
        <v>593</v>
      </c>
      <c r="B36" s="945"/>
      <c r="C36" s="945"/>
      <c r="D36" s="945"/>
      <c r="E36" s="945"/>
      <c r="F36" s="945"/>
      <c r="G36" s="945"/>
      <c r="H36" s="945"/>
      <c r="I36" s="945"/>
      <c r="J36" s="945"/>
      <c r="K36" s="945"/>
      <c r="L36" s="945"/>
      <c r="M36" s="945"/>
      <c r="N36" s="945"/>
    </row>
  </sheetData>
  <mergeCells count="1">
    <mergeCell ref="A36:N36"/>
  </mergeCells>
  <printOptions horizontalCentered="1" verticalCentered="1"/>
  <pageMargins left="0" right="0" top="0" bottom="0" header="0" footer="0"/>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rightToLeft="1" view="pageBreakPreview" topLeftCell="A4" zoomScaleNormal="100" zoomScaleSheetLayoutView="100" workbookViewId="0">
      <selection activeCell="Q16" sqref="Q16"/>
    </sheetView>
  </sheetViews>
  <sheetFormatPr defaultColWidth="9.140625" defaultRowHeight="12.75"/>
  <cols>
    <col min="1" max="16384" width="9.140625" style="1"/>
  </cols>
  <sheetData>
    <row r="1" ht="38.25" customHeight="1"/>
    <row r="2" ht="32.25" customHeight="1"/>
    <row r="37" spans="1:13" ht="15.75">
      <c r="A37" s="945" t="s">
        <v>149</v>
      </c>
      <c r="B37" s="945"/>
      <c r="C37" s="945"/>
      <c r="D37" s="945"/>
      <c r="E37" s="945"/>
      <c r="F37" s="945"/>
      <c r="G37" s="945"/>
      <c r="H37" s="945"/>
      <c r="I37" s="945"/>
      <c r="J37" s="945"/>
      <c r="K37" s="945"/>
      <c r="L37" s="945"/>
      <c r="M37" s="945"/>
    </row>
    <row r="44" spans="1:13">
      <c r="F44" s="1" t="s">
        <v>990</v>
      </c>
    </row>
  </sheetData>
  <mergeCells count="1">
    <mergeCell ref="A37:M37"/>
  </mergeCells>
  <printOptions horizontalCentered="1" verticalCentered="1"/>
  <pageMargins left="0" right="0" top="0" bottom="0" header="0" footer="0"/>
  <pageSetup paperSize="9" orientation="landscape" r:id="rId1"/>
  <headerFooter alignWithMargins="0"/>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8"/>
  <sheetViews>
    <sheetView rightToLeft="1" view="pageBreakPreview" zoomScaleNormal="100" zoomScaleSheetLayoutView="100" workbookViewId="0">
      <selection activeCell="P9" sqref="P9"/>
    </sheetView>
  </sheetViews>
  <sheetFormatPr defaultColWidth="9.140625" defaultRowHeight="12.75"/>
  <cols>
    <col min="1" max="1" width="19.28515625" style="1" customWidth="1"/>
    <col min="2" max="2" width="7" style="1" customWidth="1"/>
    <col min="3" max="3" width="7.85546875" style="1" customWidth="1"/>
    <col min="4" max="4" width="8.140625" style="1" customWidth="1"/>
    <col min="5" max="5" width="7.85546875" style="1" customWidth="1"/>
    <col min="6" max="6" width="8.7109375" style="1" customWidth="1"/>
    <col min="7" max="7" width="7.85546875" style="1" customWidth="1"/>
    <col min="8" max="10" width="8" style="1" customWidth="1"/>
    <col min="11" max="11" width="6.28515625" style="1" customWidth="1"/>
    <col min="12" max="12" width="10.140625" style="1" customWidth="1"/>
    <col min="13" max="13" width="8.7109375" style="1" customWidth="1"/>
    <col min="14" max="14" width="21" style="1" customWidth="1"/>
    <col min="15" max="16384" width="9.140625" style="1"/>
  </cols>
  <sheetData>
    <row r="1" spans="1:22" s="2" customFormat="1" ht="21.75" customHeight="1">
      <c r="A1" s="1058" t="s">
        <v>590</v>
      </c>
      <c r="B1" s="1058"/>
      <c r="C1" s="1058"/>
      <c r="D1" s="1058"/>
      <c r="E1" s="1058"/>
      <c r="F1" s="1058"/>
      <c r="G1" s="1058"/>
      <c r="H1" s="1058"/>
      <c r="I1" s="934"/>
      <c r="J1" s="934"/>
      <c r="K1" s="934"/>
      <c r="L1" s="934"/>
      <c r="M1" s="934"/>
      <c r="N1" s="934"/>
      <c r="O1" s="658"/>
      <c r="P1" s="658"/>
      <c r="Q1" s="658"/>
      <c r="R1" s="658"/>
      <c r="S1" s="658"/>
      <c r="T1" s="658"/>
      <c r="U1" s="658"/>
      <c r="V1" s="658"/>
    </row>
    <row r="2" spans="1:22" s="2" customFormat="1" ht="15.75" customHeight="1">
      <c r="A2" s="1069" t="s">
        <v>589</v>
      </c>
      <c r="B2" s="1069"/>
      <c r="C2" s="1069"/>
      <c r="D2" s="1069"/>
      <c r="E2" s="1069"/>
      <c r="F2" s="1069"/>
      <c r="G2" s="1069"/>
      <c r="H2" s="1069"/>
      <c r="I2" s="958"/>
      <c r="J2" s="958"/>
      <c r="K2" s="958"/>
      <c r="L2" s="958"/>
      <c r="M2" s="958"/>
      <c r="N2" s="958"/>
      <c r="O2" s="658"/>
      <c r="P2" s="658"/>
      <c r="Q2" s="658"/>
      <c r="R2" s="658"/>
      <c r="S2" s="658"/>
      <c r="T2" s="658"/>
      <c r="U2" s="658"/>
      <c r="V2" s="658"/>
    </row>
    <row r="3" spans="1:22" s="2" customFormat="1" ht="18" customHeight="1">
      <c r="A3" s="1059">
        <v>2015</v>
      </c>
      <c r="B3" s="1059"/>
      <c r="C3" s="1059"/>
      <c r="D3" s="1059"/>
      <c r="E3" s="1059"/>
      <c r="F3" s="1059"/>
      <c r="G3" s="1059"/>
      <c r="H3" s="1059"/>
      <c r="I3" s="959"/>
      <c r="J3" s="959"/>
      <c r="K3" s="959"/>
      <c r="L3" s="959"/>
      <c r="M3" s="959"/>
      <c r="N3" s="959"/>
      <c r="O3" s="659"/>
      <c r="P3" s="659"/>
      <c r="Q3" s="659"/>
      <c r="R3" s="659"/>
      <c r="S3" s="658"/>
      <c r="T3" s="658"/>
      <c r="U3" s="658"/>
      <c r="V3" s="658"/>
    </row>
    <row r="4" spans="1:22" s="2" customFormat="1" ht="15.75">
      <c r="A4" s="1059" t="s">
        <v>594</v>
      </c>
      <c r="B4" s="1059"/>
      <c r="C4" s="1059"/>
      <c r="D4" s="1059"/>
      <c r="E4" s="1059"/>
      <c r="F4" s="1059"/>
      <c r="G4" s="1059"/>
      <c r="H4" s="1059"/>
      <c r="I4" s="959"/>
      <c r="J4" s="959"/>
      <c r="K4" s="959"/>
      <c r="L4" s="959"/>
      <c r="M4" s="959"/>
      <c r="N4" s="959"/>
      <c r="O4" s="658"/>
      <c r="P4" s="658"/>
      <c r="Q4" s="658"/>
      <c r="R4" s="658"/>
      <c r="S4" s="658"/>
      <c r="T4" s="658"/>
      <c r="U4" s="658"/>
      <c r="V4" s="658"/>
    </row>
    <row r="5" spans="1:22" s="2" customFormat="1" ht="15.75">
      <c r="A5" s="629"/>
      <c r="B5" s="629"/>
      <c r="C5" s="629"/>
      <c r="D5" s="629"/>
      <c r="E5" s="629"/>
      <c r="F5" s="629"/>
      <c r="G5" s="629"/>
      <c r="H5" s="629"/>
      <c r="I5" s="635"/>
      <c r="J5" s="635"/>
      <c r="K5" s="635"/>
      <c r="L5" s="635"/>
      <c r="M5" s="635"/>
      <c r="N5" s="635"/>
      <c r="O5" s="658"/>
      <c r="P5" s="658"/>
      <c r="Q5" s="658"/>
      <c r="R5" s="658"/>
      <c r="S5" s="658"/>
      <c r="T5" s="658"/>
      <c r="U5" s="658"/>
      <c r="V5" s="658"/>
    </row>
    <row r="6" spans="1:22" ht="15.75">
      <c r="A6" s="4" t="s">
        <v>643</v>
      </c>
      <c r="B6" s="5"/>
      <c r="C6" s="5"/>
      <c r="D6" s="5"/>
      <c r="E6" s="5"/>
      <c r="F6" s="5"/>
      <c r="G6" s="5"/>
      <c r="H6" s="5"/>
      <c r="I6" s="652"/>
      <c r="J6" s="652"/>
      <c r="K6" s="652"/>
      <c r="L6" s="652"/>
      <c r="M6" s="652"/>
      <c r="N6" s="657" t="s">
        <v>644</v>
      </c>
      <c r="O6" s="175"/>
      <c r="P6" s="175"/>
      <c r="Q6" s="175"/>
      <c r="R6" s="175"/>
      <c r="S6" s="175"/>
      <c r="T6" s="175"/>
      <c r="U6" s="175"/>
      <c r="V6" s="175"/>
    </row>
    <row r="7" spans="1:22" ht="26.25" customHeight="1">
      <c r="A7" s="1062" t="s">
        <v>314</v>
      </c>
      <c r="B7" s="1064" t="s">
        <v>278</v>
      </c>
      <c r="C7" s="1065"/>
      <c r="D7" s="1065"/>
      <c r="E7" s="1065"/>
      <c r="F7" s="1065"/>
      <c r="G7" s="1065"/>
      <c r="H7" s="1065"/>
      <c r="I7" s="1065"/>
      <c r="J7" s="1065"/>
      <c r="K7" s="1065"/>
      <c r="L7" s="1065"/>
      <c r="M7" s="1066"/>
      <c r="N7" s="1067" t="s">
        <v>565</v>
      </c>
    </row>
    <row r="8" spans="1:22" ht="44.25" customHeight="1">
      <c r="A8" s="1063"/>
      <c r="B8" s="577">
        <v>-20</v>
      </c>
      <c r="C8" s="577" t="s">
        <v>10</v>
      </c>
      <c r="D8" s="577" t="s">
        <v>11</v>
      </c>
      <c r="E8" s="577" t="s">
        <v>12</v>
      </c>
      <c r="F8" s="577" t="s">
        <v>13</v>
      </c>
      <c r="G8" s="577" t="s">
        <v>14</v>
      </c>
      <c r="H8" s="577" t="s">
        <v>15</v>
      </c>
      <c r="I8" s="577" t="s">
        <v>16</v>
      </c>
      <c r="J8" s="577" t="s">
        <v>17</v>
      </c>
      <c r="K8" s="577" t="s">
        <v>18</v>
      </c>
      <c r="L8" s="586" t="s">
        <v>8</v>
      </c>
      <c r="M8" s="583" t="s">
        <v>256</v>
      </c>
      <c r="N8" s="1068"/>
    </row>
    <row r="9" spans="1:22" ht="18" customHeight="1" thickBot="1">
      <c r="A9" s="223" t="s">
        <v>751</v>
      </c>
      <c r="B9" s="152">
        <v>0</v>
      </c>
      <c r="C9" s="152">
        <v>0</v>
      </c>
      <c r="D9" s="152">
        <v>0</v>
      </c>
      <c r="E9" s="152">
        <v>0</v>
      </c>
      <c r="F9" s="152">
        <v>0</v>
      </c>
      <c r="G9" s="152">
        <v>0</v>
      </c>
      <c r="H9" s="152">
        <v>0</v>
      </c>
      <c r="I9" s="152">
        <v>0</v>
      </c>
      <c r="J9" s="152">
        <v>0</v>
      </c>
      <c r="K9" s="152">
        <v>0</v>
      </c>
      <c r="L9" s="152">
        <v>0</v>
      </c>
      <c r="M9" s="8">
        <f>SUM(B9:L9)</f>
        <v>0</v>
      </c>
      <c r="N9" s="10" t="s">
        <v>751</v>
      </c>
    </row>
    <row r="10" spans="1:22" ht="18" customHeight="1" thickBot="1">
      <c r="A10" s="201" t="s">
        <v>269</v>
      </c>
      <c r="B10" s="401">
        <v>8</v>
      </c>
      <c r="C10" s="401">
        <v>40</v>
      </c>
      <c r="D10" s="401">
        <v>4</v>
      </c>
      <c r="E10" s="401">
        <v>0</v>
      </c>
      <c r="F10" s="401">
        <v>0</v>
      </c>
      <c r="G10" s="401">
        <v>0</v>
      </c>
      <c r="H10" s="401">
        <v>0</v>
      </c>
      <c r="I10" s="401">
        <v>0</v>
      </c>
      <c r="J10" s="401">
        <v>0</v>
      </c>
      <c r="K10" s="401">
        <v>0</v>
      </c>
      <c r="L10" s="401">
        <v>0</v>
      </c>
      <c r="M10" s="8">
        <f t="shared" ref="M10:M22" si="0">SUM(B10:L10)</f>
        <v>52</v>
      </c>
      <c r="N10" s="202" t="s">
        <v>269</v>
      </c>
    </row>
    <row r="11" spans="1:22" ht="18" customHeight="1" thickBot="1">
      <c r="A11" s="201" t="s">
        <v>268</v>
      </c>
      <c r="B11" s="401">
        <v>9</v>
      </c>
      <c r="C11" s="401">
        <v>58</v>
      </c>
      <c r="D11" s="401">
        <v>53</v>
      </c>
      <c r="E11" s="401">
        <v>6</v>
      </c>
      <c r="F11" s="401">
        <v>2</v>
      </c>
      <c r="G11" s="401">
        <v>0</v>
      </c>
      <c r="H11" s="401">
        <v>0</v>
      </c>
      <c r="I11" s="401">
        <v>0</v>
      </c>
      <c r="J11" s="401">
        <v>0</v>
      </c>
      <c r="K11" s="401">
        <v>0</v>
      </c>
      <c r="L11" s="401">
        <v>0</v>
      </c>
      <c r="M11" s="8">
        <f t="shared" si="0"/>
        <v>128</v>
      </c>
      <c r="N11" s="202" t="s">
        <v>268</v>
      </c>
    </row>
    <row r="12" spans="1:22" ht="18" customHeight="1" thickBot="1">
      <c r="A12" s="201" t="s">
        <v>267</v>
      </c>
      <c r="B12" s="401">
        <v>1</v>
      </c>
      <c r="C12" s="401">
        <v>15</v>
      </c>
      <c r="D12" s="401">
        <v>47</v>
      </c>
      <c r="E12" s="401">
        <v>31</v>
      </c>
      <c r="F12" s="401">
        <v>6</v>
      </c>
      <c r="G12" s="401">
        <v>6</v>
      </c>
      <c r="H12" s="401">
        <v>0</v>
      </c>
      <c r="I12" s="401">
        <v>0</v>
      </c>
      <c r="J12" s="401">
        <v>0</v>
      </c>
      <c r="K12" s="401">
        <v>0</v>
      </c>
      <c r="L12" s="401">
        <v>0</v>
      </c>
      <c r="M12" s="8">
        <f t="shared" si="0"/>
        <v>106</v>
      </c>
      <c r="N12" s="202" t="s">
        <v>267</v>
      </c>
    </row>
    <row r="13" spans="1:22" ht="18" customHeight="1" thickBot="1">
      <c r="A13" s="201" t="s">
        <v>266</v>
      </c>
      <c r="B13" s="401">
        <v>0</v>
      </c>
      <c r="C13" s="401">
        <v>5</v>
      </c>
      <c r="D13" s="401">
        <v>14</v>
      </c>
      <c r="E13" s="401">
        <v>25</v>
      </c>
      <c r="F13" s="401">
        <v>21</v>
      </c>
      <c r="G13" s="401">
        <v>1</v>
      </c>
      <c r="H13" s="401">
        <v>0</v>
      </c>
      <c r="I13" s="401">
        <v>1</v>
      </c>
      <c r="J13" s="401">
        <v>0</v>
      </c>
      <c r="K13" s="401">
        <v>0</v>
      </c>
      <c r="L13" s="401">
        <v>0</v>
      </c>
      <c r="M13" s="8">
        <f t="shared" si="0"/>
        <v>67</v>
      </c>
      <c r="N13" s="202" t="s">
        <v>266</v>
      </c>
    </row>
    <row r="14" spans="1:22" ht="18" customHeight="1" thickBot="1">
      <c r="A14" s="201" t="s">
        <v>265</v>
      </c>
      <c r="B14" s="401">
        <v>0</v>
      </c>
      <c r="C14" s="401">
        <v>1</v>
      </c>
      <c r="D14" s="401">
        <v>6</v>
      </c>
      <c r="E14" s="401">
        <v>8</v>
      </c>
      <c r="F14" s="401">
        <v>18</v>
      </c>
      <c r="G14" s="401">
        <v>11</v>
      </c>
      <c r="H14" s="401">
        <v>5</v>
      </c>
      <c r="I14" s="401">
        <v>0</v>
      </c>
      <c r="J14" s="401">
        <v>0</v>
      </c>
      <c r="K14" s="401">
        <v>0</v>
      </c>
      <c r="L14" s="401">
        <v>0</v>
      </c>
      <c r="M14" s="8">
        <f t="shared" si="0"/>
        <v>49</v>
      </c>
      <c r="N14" s="202" t="s">
        <v>265</v>
      </c>
    </row>
    <row r="15" spans="1:22" ht="18" customHeight="1" thickBot="1">
      <c r="A15" s="201" t="s">
        <v>264</v>
      </c>
      <c r="B15" s="401">
        <v>0</v>
      </c>
      <c r="C15" s="401">
        <v>1</v>
      </c>
      <c r="D15" s="401">
        <v>5</v>
      </c>
      <c r="E15" s="401">
        <v>7</v>
      </c>
      <c r="F15" s="401">
        <v>13</v>
      </c>
      <c r="G15" s="401">
        <v>7</v>
      </c>
      <c r="H15" s="401">
        <v>8</v>
      </c>
      <c r="I15" s="401">
        <v>2</v>
      </c>
      <c r="J15" s="401">
        <v>1</v>
      </c>
      <c r="K15" s="401">
        <v>0</v>
      </c>
      <c r="L15" s="401">
        <v>0</v>
      </c>
      <c r="M15" s="8">
        <f t="shared" si="0"/>
        <v>44</v>
      </c>
      <c r="N15" s="202" t="s">
        <v>264</v>
      </c>
    </row>
    <row r="16" spans="1:22" ht="18" customHeight="1" thickBot="1">
      <c r="A16" s="201" t="s">
        <v>263</v>
      </c>
      <c r="B16" s="401">
        <v>0</v>
      </c>
      <c r="C16" s="401">
        <v>0</v>
      </c>
      <c r="D16" s="401">
        <v>2</v>
      </c>
      <c r="E16" s="401">
        <v>2</v>
      </c>
      <c r="F16" s="401">
        <v>6</v>
      </c>
      <c r="G16" s="401">
        <v>7</v>
      </c>
      <c r="H16" s="401">
        <v>5</v>
      </c>
      <c r="I16" s="401">
        <v>6</v>
      </c>
      <c r="J16" s="401">
        <v>4</v>
      </c>
      <c r="K16" s="401">
        <v>0</v>
      </c>
      <c r="L16" s="401">
        <v>0</v>
      </c>
      <c r="M16" s="8">
        <f t="shared" si="0"/>
        <v>32</v>
      </c>
      <c r="N16" s="202" t="s">
        <v>263</v>
      </c>
    </row>
    <row r="17" spans="1:14" ht="18" customHeight="1" thickBot="1">
      <c r="A17" s="201" t="s">
        <v>262</v>
      </c>
      <c r="B17" s="401">
        <v>0</v>
      </c>
      <c r="C17" s="401">
        <v>0</v>
      </c>
      <c r="D17" s="401">
        <v>1</v>
      </c>
      <c r="E17" s="401">
        <v>2</v>
      </c>
      <c r="F17" s="401">
        <v>2</v>
      </c>
      <c r="G17" s="401">
        <v>1</v>
      </c>
      <c r="H17" s="401">
        <v>1</v>
      </c>
      <c r="I17" s="401">
        <v>2</v>
      </c>
      <c r="J17" s="401">
        <v>4</v>
      </c>
      <c r="K17" s="401">
        <v>0</v>
      </c>
      <c r="L17" s="401">
        <v>0</v>
      </c>
      <c r="M17" s="8">
        <f t="shared" si="0"/>
        <v>13</v>
      </c>
      <c r="N17" s="202" t="s">
        <v>262</v>
      </c>
    </row>
    <row r="18" spans="1:14" ht="18" customHeight="1" thickBot="1">
      <c r="A18" s="201" t="s">
        <v>261</v>
      </c>
      <c r="B18" s="401">
        <v>0</v>
      </c>
      <c r="C18" s="401">
        <v>0</v>
      </c>
      <c r="D18" s="401">
        <v>0</v>
      </c>
      <c r="E18" s="401">
        <v>2</v>
      </c>
      <c r="F18" s="401">
        <v>2</v>
      </c>
      <c r="G18" s="401">
        <v>1</v>
      </c>
      <c r="H18" s="401">
        <v>2</v>
      </c>
      <c r="I18" s="401">
        <v>3</v>
      </c>
      <c r="J18" s="401">
        <v>6</v>
      </c>
      <c r="K18" s="401">
        <v>0</v>
      </c>
      <c r="L18" s="401">
        <v>0</v>
      </c>
      <c r="M18" s="8">
        <f t="shared" si="0"/>
        <v>16</v>
      </c>
      <c r="N18" s="202" t="s">
        <v>261</v>
      </c>
    </row>
    <row r="19" spans="1:14" ht="18" customHeight="1" thickBot="1">
      <c r="A19" s="201" t="s">
        <v>260</v>
      </c>
      <c r="B19" s="401">
        <v>0</v>
      </c>
      <c r="C19" s="401">
        <v>0</v>
      </c>
      <c r="D19" s="401">
        <v>1</v>
      </c>
      <c r="E19" s="401">
        <v>1</v>
      </c>
      <c r="F19" s="401">
        <v>1</v>
      </c>
      <c r="G19" s="401">
        <v>0</v>
      </c>
      <c r="H19" s="401">
        <v>2</v>
      </c>
      <c r="I19" s="401">
        <v>2</v>
      </c>
      <c r="J19" s="401">
        <v>1</v>
      </c>
      <c r="K19" s="401">
        <v>0</v>
      </c>
      <c r="L19" s="401">
        <v>0</v>
      </c>
      <c r="M19" s="8">
        <f t="shared" si="0"/>
        <v>8</v>
      </c>
      <c r="N19" s="202" t="s">
        <v>260</v>
      </c>
    </row>
    <row r="20" spans="1:14" ht="18" customHeight="1" thickBot="1">
      <c r="A20" s="201" t="s">
        <v>259</v>
      </c>
      <c r="B20" s="401">
        <v>0</v>
      </c>
      <c r="C20" s="401">
        <v>0</v>
      </c>
      <c r="D20" s="401">
        <v>0</v>
      </c>
      <c r="E20" s="401">
        <v>0</v>
      </c>
      <c r="F20" s="401">
        <v>1</v>
      </c>
      <c r="G20" s="401">
        <v>0</v>
      </c>
      <c r="H20" s="401">
        <v>2</v>
      </c>
      <c r="I20" s="401">
        <v>0</v>
      </c>
      <c r="J20" s="401">
        <v>0</v>
      </c>
      <c r="K20" s="401">
        <v>0</v>
      </c>
      <c r="L20" s="401">
        <v>0</v>
      </c>
      <c r="M20" s="8">
        <f t="shared" si="0"/>
        <v>3</v>
      </c>
      <c r="N20" s="202" t="s">
        <v>259</v>
      </c>
    </row>
    <row r="21" spans="1:14" ht="18" customHeight="1" thickBot="1">
      <c r="A21" s="201" t="s">
        <v>258</v>
      </c>
      <c r="B21" s="401">
        <v>0</v>
      </c>
      <c r="C21" s="401">
        <v>0</v>
      </c>
      <c r="D21" s="401">
        <v>0</v>
      </c>
      <c r="E21" s="401">
        <v>0</v>
      </c>
      <c r="F21" s="401">
        <v>0</v>
      </c>
      <c r="G21" s="401">
        <v>0</v>
      </c>
      <c r="H21" s="401">
        <v>0</v>
      </c>
      <c r="I21" s="401">
        <v>0</v>
      </c>
      <c r="J21" s="401">
        <v>0</v>
      </c>
      <c r="K21" s="401">
        <v>0</v>
      </c>
      <c r="L21" s="401">
        <v>0</v>
      </c>
      <c r="M21" s="8">
        <f t="shared" si="0"/>
        <v>0</v>
      </c>
      <c r="N21" s="202" t="s">
        <v>258</v>
      </c>
    </row>
    <row r="22" spans="1:14" ht="18" customHeight="1" thickBot="1">
      <c r="A22" s="203" t="s">
        <v>19</v>
      </c>
      <c r="B22" s="402">
        <v>0</v>
      </c>
      <c r="C22" s="402">
        <v>0</v>
      </c>
      <c r="D22" s="402">
        <v>0</v>
      </c>
      <c r="E22" s="402">
        <v>0</v>
      </c>
      <c r="F22" s="402">
        <v>0</v>
      </c>
      <c r="G22" s="402">
        <v>0</v>
      </c>
      <c r="H22" s="402">
        <v>0</v>
      </c>
      <c r="I22" s="402">
        <v>0</v>
      </c>
      <c r="J22" s="402">
        <v>0</v>
      </c>
      <c r="K22" s="402">
        <v>0</v>
      </c>
      <c r="L22" s="402">
        <v>0</v>
      </c>
      <c r="M22" s="8">
        <f t="shared" si="0"/>
        <v>0</v>
      </c>
      <c r="N22" s="204" t="s">
        <v>20</v>
      </c>
    </row>
    <row r="23" spans="1:14" ht="18" customHeight="1">
      <c r="A23" s="178" t="s">
        <v>21</v>
      </c>
      <c r="B23" s="207">
        <f>SUM(B9:B22)</f>
        <v>18</v>
      </c>
      <c r="C23" s="207">
        <f t="shared" ref="C23:M23" si="1">SUM(C9:C22)</f>
        <v>120</v>
      </c>
      <c r="D23" s="207">
        <f t="shared" si="1"/>
        <v>133</v>
      </c>
      <c r="E23" s="207">
        <f t="shared" si="1"/>
        <v>84</v>
      </c>
      <c r="F23" s="207">
        <f t="shared" si="1"/>
        <v>72</v>
      </c>
      <c r="G23" s="207">
        <f t="shared" si="1"/>
        <v>34</v>
      </c>
      <c r="H23" s="207">
        <f t="shared" si="1"/>
        <v>25</v>
      </c>
      <c r="I23" s="207">
        <f t="shared" si="1"/>
        <v>16</v>
      </c>
      <c r="J23" s="207">
        <f t="shared" si="1"/>
        <v>16</v>
      </c>
      <c r="K23" s="207">
        <f t="shared" si="1"/>
        <v>0</v>
      </c>
      <c r="L23" s="207">
        <f t="shared" si="1"/>
        <v>0</v>
      </c>
      <c r="M23" s="207">
        <f t="shared" si="1"/>
        <v>518</v>
      </c>
      <c r="N23" s="200" t="s">
        <v>176</v>
      </c>
    </row>
    <row r="26" spans="1:14" ht="33.75" customHeight="1">
      <c r="B26" s="74" t="s">
        <v>587</v>
      </c>
      <c r="C26" s="74" t="s">
        <v>586</v>
      </c>
    </row>
    <row r="27" spans="1:14">
      <c r="A27" s="469">
        <v>-20</v>
      </c>
      <c r="B27" s="1">
        <f>B23</f>
        <v>18</v>
      </c>
      <c r="C27" s="1">
        <f t="shared" ref="C27:C35" si="2">M9</f>
        <v>0</v>
      </c>
    </row>
    <row r="28" spans="1:14">
      <c r="A28" s="74" t="s">
        <v>10</v>
      </c>
      <c r="B28" s="1">
        <f>C23</f>
        <v>120</v>
      </c>
      <c r="C28" s="1">
        <f t="shared" si="2"/>
        <v>52</v>
      </c>
    </row>
    <row r="29" spans="1:14">
      <c r="A29" s="1" t="s">
        <v>11</v>
      </c>
      <c r="B29" s="1">
        <f>D23</f>
        <v>133</v>
      </c>
      <c r="C29" s="1">
        <f t="shared" si="2"/>
        <v>128</v>
      </c>
    </row>
    <row r="30" spans="1:14">
      <c r="A30" s="1" t="s">
        <v>12</v>
      </c>
      <c r="B30" s="1">
        <f>E23</f>
        <v>84</v>
      </c>
      <c r="C30" s="1">
        <f t="shared" si="2"/>
        <v>106</v>
      </c>
    </row>
    <row r="31" spans="1:14">
      <c r="A31" s="1" t="s">
        <v>13</v>
      </c>
      <c r="B31" s="1">
        <f>F23</f>
        <v>72</v>
      </c>
      <c r="C31" s="1">
        <f t="shared" si="2"/>
        <v>67</v>
      </c>
    </row>
    <row r="32" spans="1:14">
      <c r="A32" s="1" t="s">
        <v>14</v>
      </c>
      <c r="B32" s="1">
        <f>G23</f>
        <v>34</v>
      </c>
      <c r="C32" s="1">
        <f t="shared" si="2"/>
        <v>49</v>
      </c>
    </row>
    <row r="33" spans="1:4">
      <c r="A33" s="1" t="s">
        <v>15</v>
      </c>
      <c r="B33" s="1">
        <f>H23</f>
        <v>25</v>
      </c>
      <c r="C33" s="1">
        <f t="shared" si="2"/>
        <v>44</v>
      </c>
    </row>
    <row r="34" spans="1:4">
      <c r="A34" s="1" t="s">
        <v>16</v>
      </c>
      <c r="B34" s="1">
        <f>I23</f>
        <v>16</v>
      </c>
      <c r="C34" s="1">
        <f t="shared" si="2"/>
        <v>32</v>
      </c>
    </row>
    <row r="35" spans="1:4">
      <c r="A35" s="1" t="s">
        <v>17</v>
      </c>
      <c r="B35" s="1">
        <f>J23</f>
        <v>16</v>
      </c>
      <c r="C35" s="1">
        <f t="shared" si="2"/>
        <v>13</v>
      </c>
    </row>
    <row r="36" spans="1:4" ht="13.5" thickBot="1">
      <c r="A36" s="1" t="s">
        <v>18</v>
      </c>
      <c r="B36" s="1">
        <f>K23</f>
        <v>0</v>
      </c>
      <c r="C36" s="1">
        <f>M18+M19+M20+M22</f>
        <v>27</v>
      </c>
    </row>
    <row r="37" spans="1:4" ht="15.75" thickBot="1">
      <c r="A37" s="157"/>
      <c r="B37" s="1">
        <f>SUM(B27:B36)</f>
        <v>518</v>
      </c>
      <c r="C37" s="1">
        <f>SUM(C27:C36)</f>
        <v>518</v>
      </c>
    </row>
    <row r="38" spans="1:4" ht="15.75" thickBot="1">
      <c r="D38" s="157"/>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6:N36"/>
  <sheetViews>
    <sheetView rightToLeft="1" view="pageBreakPreview" zoomScaleNormal="100" zoomScaleSheetLayoutView="100" workbookViewId="0">
      <selection activeCell="P11" sqref="P11"/>
    </sheetView>
  </sheetViews>
  <sheetFormatPr defaultColWidth="9.140625" defaultRowHeight="12.75"/>
  <cols>
    <col min="1" max="16384" width="9.140625" style="1"/>
  </cols>
  <sheetData>
    <row r="36" spans="1:14" ht="15.75">
      <c r="A36" s="945" t="s">
        <v>595</v>
      </c>
      <c r="B36" s="945"/>
      <c r="C36" s="945"/>
      <c r="D36" s="945"/>
      <c r="E36" s="945"/>
      <c r="F36" s="945"/>
      <c r="G36" s="945"/>
      <c r="H36" s="945"/>
      <c r="I36" s="945"/>
      <c r="J36" s="945"/>
      <c r="K36" s="945"/>
      <c r="L36" s="945"/>
      <c r="M36" s="945"/>
      <c r="N36" s="945"/>
    </row>
  </sheetData>
  <mergeCells count="1">
    <mergeCell ref="A36:N36"/>
  </mergeCells>
  <printOptions horizontalCentered="1" verticalCentered="1"/>
  <pageMargins left="0" right="0" top="0" bottom="0" header="0" footer="0"/>
  <pageSetup paperSize="9" orientation="landscape"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rightToLeft="1" view="pageBreakPreview" zoomScaleNormal="100" zoomScaleSheetLayoutView="100" workbookViewId="0">
      <selection activeCell="M9" sqref="M9:M22"/>
    </sheetView>
  </sheetViews>
  <sheetFormatPr defaultColWidth="9.140625" defaultRowHeight="12.75"/>
  <cols>
    <col min="1" max="1" width="17.85546875" style="1" customWidth="1"/>
    <col min="2" max="12" width="7.42578125" style="1" customWidth="1"/>
    <col min="13" max="13" width="9.85546875" style="1" customWidth="1"/>
    <col min="14" max="14" width="11" style="1" customWidth="1"/>
    <col min="15" max="15" width="17.85546875" style="1" customWidth="1"/>
    <col min="16" max="16384" width="9.140625" style="1"/>
  </cols>
  <sheetData>
    <row r="1" spans="1:19" s="2" customFormat="1" ht="21.75" customHeight="1">
      <c r="A1" s="934" t="s">
        <v>598</v>
      </c>
      <c r="B1" s="934"/>
      <c r="C1" s="934"/>
      <c r="D1" s="934"/>
      <c r="E1" s="934"/>
      <c r="F1" s="934"/>
      <c r="G1" s="934"/>
      <c r="H1" s="934"/>
      <c r="I1" s="934"/>
      <c r="J1" s="934"/>
      <c r="K1" s="934"/>
      <c r="L1" s="934"/>
      <c r="M1" s="934"/>
      <c r="N1" s="934"/>
      <c r="O1" s="934"/>
    </row>
    <row r="2" spans="1:19" s="2" customFormat="1" ht="15.75" customHeight="1">
      <c r="A2" s="958" t="s">
        <v>934</v>
      </c>
      <c r="B2" s="958"/>
      <c r="C2" s="958"/>
      <c r="D2" s="958"/>
      <c r="E2" s="958"/>
      <c r="F2" s="958"/>
      <c r="G2" s="958"/>
      <c r="H2" s="958"/>
      <c r="I2" s="958"/>
      <c r="J2" s="958"/>
      <c r="K2" s="958"/>
      <c r="L2" s="958"/>
      <c r="M2" s="958"/>
      <c r="N2" s="958"/>
      <c r="O2" s="958"/>
    </row>
    <row r="3" spans="1:19" s="2" customFormat="1" ht="18" customHeight="1">
      <c r="A3" s="959">
        <v>2015</v>
      </c>
      <c r="B3" s="959"/>
      <c r="C3" s="959"/>
      <c r="D3" s="959"/>
      <c r="E3" s="959"/>
      <c r="F3" s="959"/>
      <c r="G3" s="959"/>
      <c r="H3" s="959"/>
      <c r="I3" s="959"/>
      <c r="J3" s="959"/>
      <c r="K3" s="959"/>
      <c r="L3" s="959"/>
      <c r="M3" s="959"/>
      <c r="N3" s="959"/>
      <c r="O3" s="959"/>
      <c r="P3" s="125"/>
      <c r="Q3" s="125"/>
      <c r="R3" s="125"/>
      <c r="S3" s="125"/>
    </row>
    <row r="4" spans="1:19" s="2" customFormat="1" ht="15.75">
      <c r="A4" s="959" t="s">
        <v>173</v>
      </c>
      <c r="B4" s="959"/>
      <c r="C4" s="959"/>
      <c r="D4" s="959"/>
      <c r="E4" s="959"/>
      <c r="F4" s="959"/>
      <c r="G4" s="959"/>
      <c r="H4" s="959"/>
      <c r="I4" s="959"/>
      <c r="J4" s="959"/>
      <c r="K4" s="959"/>
      <c r="L4" s="959"/>
      <c r="M4" s="959"/>
      <c r="N4" s="959"/>
      <c r="O4" s="959"/>
    </row>
    <row r="5" spans="1:19" s="2" customFormat="1" ht="15.75">
      <c r="A5" s="635"/>
      <c r="B5" s="635"/>
      <c r="C5" s="635"/>
      <c r="D5" s="635"/>
      <c r="E5" s="635"/>
      <c r="F5" s="635"/>
      <c r="G5" s="635"/>
      <c r="H5" s="635"/>
      <c r="I5" s="635"/>
      <c r="J5" s="635"/>
      <c r="K5" s="635"/>
      <c r="L5" s="635"/>
      <c r="M5" s="635"/>
      <c r="N5" s="635"/>
      <c r="O5" s="635"/>
    </row>
    <row r="6" spans="1:19" ht="15.75">
      <c r="A6" s="648" t="s">
        <v>816</v>
      </c>
      <c r="B6" s="652"/>
      <c r="C6" s="652"/>
      <c r="D6" s="652"/>
      <c r="E6" s="652"/>
      <c r="F6" s="652"/>
      <c r="G6" s="652"/>
      <c r="H6" s="652"/>
      <c r="I6" s="652"/>
      <c r="J6" s="652"/>
      <c r="K6" s="652"/>
      <c r="L6" s="652"/>
      <c r="M6" s="652"/>
      <c r="N6" s="652"/>
      <c r="O6" s="650" t="s">
        <v>817</v>
      </c>
    </row>
    <row r="7" spans="1:19" ht="26.25" customHeight="1" thickBot="1">
      <c r="A7" s="985" t="s">
        <v>314</v>
      </c>
      <c r="B7" s="969" t="s">
        <v>278</v>
      </c>
      <c r="C7" s="1057"/>
      <c r="D7" s="1057"/>
      <c r="E7" s="1057"/>
      <c r="F7" s="1057"/>
      <c r="G7" s="1057"/>
      <c r="H7" s="1057"/>
      <c r="I7" s="1057"/>
      <c r="J7" s="1057"/>
      <c r="K7" s="1057"/>
      <c r="L7" s="1057"/>
      <c r="M7" s="1057"/>
      <c r="N7" s="1000" t="s">
        <v>597</v>
      </c>
      <c r="O7" s="987" t="s">
        <v>565</v>
      </c>
    </row>
    <row r="8" spans="1:19" ht="47.25" customHeight="1">
      <c r="A8" s="986"/>
      <c r="B8" s="577">
        <v>-20</v>
      </c>
      <c r="C8" s="577" t="s">
        <v>10</v>
      </c>
      <c r="D8" s="577" t="s">
        <v>11</v>
      </c>
      <c r="E8" s="577" t="s">
        <v>12</v>
      </c>
      <c r="F8" s="577" t="s">
        <v>13</v>
      </c>
      <c r="G8" s="577" t="s">
        <v>14</v>
      </c>
      <c r="H8" s="577" t="s">
        <v>15</v>
      </c>
      <c r="I8" s="577" t="s">
        <v>16</v>
      </c>
      <c r="J8" s="577" t="s">
        <v>17</v>
      </c>
      <c r="K8" s="577" t="s">
        <v>18</v>
      </c>
      <c r="L8" s="586" t="s">
        <v>8</v>
      </c>
      <c r="M8" s="583" t="s">
        <v>256</v>
      </c>
      <c r="N8" s="1023"/>
      <c r="O8" s="988"/>
    </row>
    <row r="9" spans="1:19" s="208" customFormat="1" ht="18" customHeight="1" thickBot="1">
      <c r="A9" s="470">
        <v>-20</v>
      </c>
      <c r="B9" s="480">
        <v>0</v>
      </c>
      <c r="C9" s="480">
        <v>0</v>
      </c>
      <c r="D9" s="480">
        <v>0</v>
      </c>
      <c r="E9" s="480">
        <v>0</v>
      </c>
      <c r="F9" s="480">
        <v>0</v>
      </c>
      <c r="G9" s="480">
        <v>0</v>
      </c>
      <c r="H9" s="480">
        <v>0</v>
      </c>
      <c r="I9" s="480">
        <v>0</v>
      </c>
      <c r="J9" s="480">
        <v>0</v>
      </c>
      <c r="K9" s="480">
        <v>0</v>
      </c>
      <c r="L9" s="480">
        <v>0</v>
      </c>
      <c r="M9" s="1094">
        <f>SUM(B9:L9)</f>
        <v>0</v>
      </c>
      <c r="N9" s="478">
        <f>M9/$M$23%</f>
        <v>0</v>
      </c>
      <c r="O9" s="471">
        <v>-20</v>
      </c>
    </row>
    <row r="10" spans="1:19" ht="18" customHeight="1" thickBot="1">
      <c r="A10" s="225" t="s">
        <v>10</v>
      </c>
      <c r="B10" s="481">
        <v>0</v>
      </c>
      <c r="C10" s="481">
        <v>0</v>
      </c>
      <c r="D10" s="481">
        <v>0</v>
      </c>
      <c r="E10" s="481">
        <v>0</v>
      </c>
      <c r="F10" s="481">
        <v>0</v>
      </c>
      <c r="G10" s="481">
        <v>0</v>
      </c>
      <c r="H10" s="481">
        <v>0</v>
      </c>
      <c r="I10" s="481">
        <v>0</v>
      </c>
      <c r="J10" s="481">
        <v>0</v>
      </c>
      <c r="K10" s="481">
        <v>0</v>
      </c>
      <c r="L10" s="481">
        <v>0</v>
      </c>
      <c r="M10" s="1095">
        <f t="shared" ref="M10:M22" si="0">SUM(B10:L10)</f>
        <v>0</v>
      </c>
      <c r="N10" s="12">
        <f t="shared" ref="N10:N22" si="1">M10/$M$23%</f>
        <v>0</v>
      </c>
      <c r="O10" s="13" t="s">
        <v>10</v>
      </c>
    </row>
    <row r="11" spans="1:19" ht="18" customHeight="1" thickBot="1">
      <c r="A11" s="209" t="s">
        <v>11</v>
      </c>
      <c r="B11" s="482">
        <v>0</v>
      </c>
      <c r="C11" s="482">
        <v>0</v>
      </c>
      <c r="D11" s="482">
        <v>1</v>
      </c>
      <c r="E11" s="482">
        <v>0</v>
      </c>
      <c r="F11" s="482">
        <v>0</v>
      </c>
      <c r="G11" s="482">
        <v>0</v>
      </c>
      <c r="H11" s="482">
        <v>0</v>
      </c>
      <c r="I11" s="482">
        <v>0</v>
      </c>
      <c r="J11" s="482">
        <v>0</v>
      </c>
      <c r="K11" s="482">
        <v>0</v>
      </c>
      <c r="L11" s="482">
        <v>0</v>
      </c>
      <c r="M11" s="1096">
        <f t="shared" si="0"/>
        <v>1</v>
      </c>
      <c r="N11" s="479">
        <f t="shared" si="1"/>
        <v>0.71942446043165476</v>
      </c>
      <c r="O11" s="210" t="s">
        <v>11</v>
      </c>
    </row>
    <row r="12" spans="1:19" ht="18" customHeight="1" thickBot="1">
      <c r="A12" s="225" t="s">
        <v>12</v>
      </c>
      <c r="B12" s="481">
        <v>0</v>
      </c>
      <c r="C12" s="481">
        <v>0</v>
      </c>
      <c r="D12" s="481">
        <v>1</v>
      </c>
      <c r="E12" s="481">
        <v>0</v>
      </c>
      <c r="F12" s="481">
        <v>3</v>
      </c>
      <c r="G12" s="481">
        <v>1</v>
      </c>
      <c r="H12" s="481">
        <v>0</v>
      </c>
      <c r="I12" s="481">
        <v>0</v>
      </c>
      <c r="J12" s="481">
        <v>0</v>
      </c>
      <c r="K12" s="481">
        <v>0</v>
      </c>
      <c r="L12" s="481">
        <v>0</v>
      </c>
      <c r="M12" s="1095">
        <f t="shared" si="0"/>
        <v>5</v>
      </c>
      <c r="N12" s="12">
        <f t="shared" si="1"/>
        <v>3.5971223021582737</v>
      </c>
      <c r="O12" s="13" t="s">
        <v>12</v>
      </c>
    </row>
    <row r="13" spans="1:19" ht="18" customHeight="1" thickBot="1">
      <c r="A13" s="209" t="s">
        <v>13</v>
      </c>
      <c r="B13" s="482">
        <v>0</v>
      </c>
      <c r="C13" s="482">
        <v>0</v>
      </c>
      <c r="D13" s="482">
        <v>0</v>
      </c>
      <c r="E13" s="482">
        <v>3</v>
      </c>
      <c r="F13" s="482">
        <v>0</v>
      </c>
      <c r="G13" s="482">
        <v>5</v>
      </c>
      <c r="H13" s="482">
        <v>0</v>
      </c>
      <c r="I13" s="482">
        <v>0</v>
      </c>
      <c r="J13" s="482">
        <v>0</v>
      </c>
      <c r="K13" s="482">
        <v>0</v>
      </c>
      <c r="L13" s="482">
        <v>0</v>
      </c>
      <c r="M13" s="1096">
        <f t="shared" si="0"/>
        <v>8</v>
      </c>
      <c r="N13" s="479">
        <f t="shared" si="1"/>
        <v>5.755395683453238</v>
      </c>
      <c r="O13" s="210" t="s">
        <v>13</v>
      </c>
    </row>
    <row r="14" spans="1:19" ht="18" customHeight="1" thickBot="1">
      <c r="A14" s="225" t="s">
        <v>14</v>
      </c>
      <c r="B14" s="481">
        <v>0</v>
      </c>
      <c r="C14" s="481">
        <v>0</v>
      </c>
      <c r="D14" s="481">
        <v>2</v>
      </c>
      <c r="E14" s="481">
        <v>5</v>
      </c>
      <c r="F14" s="481">
        <v>3</v>
      </c>
      <c r="G14" s="481">
        <v>0</v>
      </c>
      <c r="H14" s="481">
        <v>10</v>
      </c>
      <c r="I14" s="481">
        <v>0</v>
      </c>
      <c r="J14" s="481">
        <v>0</v>
      </c>
      <c r="K14" s="481">
        <v>0</v>
      </c>
      <c r="L14" s="481">
        <v>0</v>
      </c>
      <c r="M14" s="1095">
        <f t="shared" si="0"/>
        <v>20</v>
      </c>
      <c r="N14" s="12">
        <f t="shared" si="1"/>
        <v>14.388489208633095</v>
      </c>
      <c r="O14" s="13" t="s">
        <v>14</v>
      </c>
    </row>
    <row r="15" spans="1:19" ht="18" customHeight="1" thickBot="1">
      <c r="A15" s="209" t="s">
        <v>15</v>
      </c>
      <c r="B15" s="482">
        <v>0</v>
      </c>
      <c r="C15" s="482">
        <v>0</v>
      </c>
      <c r="D15" s="482">
        <v>0</v>
      </c>
      <c r="E15" s="482">
        <v>5</v>
      </c>
      <c r="F15" s="482">
        <v>12</v>
      </c>
      <c r="G15" s="482">
        <v>0</v>
      </c>
      <c r="H15" s="482">
        <v>0</v>
      </c>
      <c r="I15" s="482">
        <v>0</v>
      </c>
      <c r="J15" s="482">
        <v>0</v>
      </c>
      <c r="K15" s="482">
        <v>0</v>
      </c>
      <c r="L15" s="482">
        <v>0</v>
      </c>
      <c r="M15" s="1096">
        <f t="shared" si="0"/>
        <v>17</v>
      </c>
      <c r="N15" s="479">
        <f>M15/$M$23%</f>
        <v>12.23021582733813</v>
      </c>
      <c r="O15" s="210" t="s">
        <v>15</v>
      </c>
    </row>
    <row r="16" spans="1:19" ht="18" customHeight="1" thickBot="1">
      <c r="A16" s="225" t="s">
        <v>16</v>
      </c>
      <c r="B16" s="481">
        <v>0</v>
      </c>
      <c r="C16" s="481">
        <v>0</v>
      </c>
      <c r="D16" s="481">
        <v>6</v>
      </c>
      <c r="E16" s="481">
        <v>1</v>
      </c>
      <c r="F16" s="481">
        <v>4</v>
      </c>
      <c r="G16" s="481">
        <v>11</v>
      </c>
      <c r="H16" s="481">
        <v>0</v>
      </c>
      <c r="I16" s="481">
        <v>9</v>
      </c>
      <c r="J16" s="481">
        <v>7</v>
      </c>
      <c r="K16" s="481">
        <v>0</v>
      </c>
      <c r="L16" s="481">
        <v>0</v>
      </c>
      <c r="M16" s="1095">
        <f t="shared" si="0"/>
        <v>38</v>
      </c>
      <c r="N16" s="12">
        <f t="shared" si="1"/>
        <v>27.338129496402878</v>
      </c>
      <c r="O16" s="13" t="s">
        <v>16</v>
      </c>
    </row>
    <row r="17" spans="1:15" ht="18" customHeight="1" thickBot="1">
      <c r="A17" s="209" t="s">
        <v>17</v>
      </c>
      <c r="B17" s="482">
        <v>0</v>
      </c>
      <c r="C17" s="482">
        <v>0</v>
      </c>
      <c r="D17" s="482">
        <v>0</v>
      </c>
      <c r="E17" s="482">
        <v>0</v>
      </c>
      <c r="F17" s="482">
        <v>0</v>
      </c>
      <c r="G17" s="482">
        <v>0</v>
      </c>
      <c r="H17" s="482">
        <v>0</v>
      </c>
      <c r="I17" s="482">
        <v>12</v>
      </c>
      <c r="J17" s="482">
        <v>0</v>
      </c>
      <c r="K17" s="482">
        <v>0</v>
      </c>
      <c r="L17" s="482">
        <v>0</v>
      </c>
      <c r="M17" s="1096">
        <f t="shared" si="0"/>
        <v>12</v>
      </c>
      <c r="N17" s="479">
        <f t="shared" si="1"/>
        <v>8.6330935251798575</v>
      </c>
      <c r="O17" s="210" t="s">
        <v>17</v>
      </c>
    </row>
    <row r="18" spans="1:15" ht="18" customHeight="1" thickBot="1">
      <c r="A18" s="225" t="s">
        <v>287</v>
      </c>
      <c r="B18" s="481">
        <v>0</v>
      </c>
      <c r="C18" s="481">
        <v>0</v>
      </c>
      <c r="D18" s="481">
        <v>0</v>
      </c>
      <c r="E18" s="481">
        <v>0</v>
      </c>
      <c r="F18" s="481">
        <v>13</v>
      </c>
      <c r="G18" s="481">
        <v>3</v>
      </c>
      <c r="H18" s="481">
        <v>0</v>
      </c>
      <c r="I18" s="481">
        <v>0</v>
      </c>
      <c r="J18" s="481">
        <v>0</v>
      </c>
      <c r="K18" s="481">
        <v>0</v>
      </c>
      <c r="L18" s="481">
        <v>0</v>
      </c>
      <c r="M18" s="1095">
        <f t="shared" si="0"/>
        <v>16</v>
      </c>
      <c r="N18" s="12">
        <f t="shared" si="1"/>
        <v>11.510791366906476</v>
      </c>
      <c r="O18" s="13" t="s">
        <v>287</v>
      </c>
    </row>
    <row r="19" spans="1:15" ht="18" customHeight="1" thickBot="1">
      <c r="A19" s="209" t="s">
        <v>286</v>
      </c>
      <c r="B19" s="482">
        <v>0</v>
      </c>
      <c r="C19" s="482">
        <v>0</v>
      </c>
      <c r="D19" s="482">
        <v>6</v>
      </c>
      <c r="E19" s="482">
        <v>6</v>
      </c>
      <c r="F19" s="482">
        <v>0</v>
      </c>
      <c r="G19" s="482">
        <v>0</v>
      </c>
      <c r="H19" s="482">
        <v>10</v>
      </c>
      <c r="I19" s="482">
        <v>0</v>
      </c>
      <c r="J19" s="482">
        <v>0</v>
      </c>
      <c r="K19" s="482">
        <v>0</v>
      </c>
      <c r="L19" s="482">
        <v>0</v>
      </c>
      <c r="M19" s="1096">
        <f t="shared" si="0"/>
        <v>22</v>
      </c>
      <c r="N19" s="479">
        <f t="shared" si="1"/>
        <v>15.827338129496404</v>
      </c>
      <c r="O19" s="210" t="s">
        <v>286</v>
      </c>
    </row>
    <row r="20" spans="1:15" ht="18" customHeight="1" thickBot="1">
      <c r="A20" s="225" t="s">
        <v>285</v>
      </c>
      <c r="B20" s="481">
        <v>0</v>
      </c>
      <c r="C20" s="481">
        <v>0</v>
      </c>
      <c r="D20" s="481">
        <v>0</v>
      </c>
      <c r="E20" s="481">
        <v>0</v>
      </c>
      <c r="F20" s="481">
        <v>0</v>
      </c>
      <c r="G20" s="481">
        <v>0</v>
      </c>
      <c r="H20" s="481">
        <v>0</v>
      </c>
      <c r="I20" s="481">
        <v>0</v>
      </c>
      <c r="J20" s="481">
        <v>0</v>
      </c>
      <c r="K20" s="481">
        <v>0</v>
      </c>
      <c r="L20" s="481">
        <v>0</v>
      </c>
      <c r="M20" s="1095">
        <f t="shared" si="0"/>
        <v>0</v>
      </c>
      <c r="N20" s="12">
        <f t="shared" si="1"/>
        <v>0</v>
      </c>
      <c r="O20" s="13" t="s">
        <v>285</v>
      </c>
    </row>
    <row r="21" spans="1:15" ht="18" customHeight="1" thickBot="1">
      <c r="A21" s="209" t="s">
        <v>284</v>
      </c>
      <c r="B21" s="482">
        <v>0</v>
      </c>
      <c r="C21" s="482">
        <v>0</v>
      </c>
      <c r="D21" s="482">
        <v>0</v>
      </c>
      <c r="E21" s="482">
        <v>0</v>
      </c>
      <c r="F21" s="482">
        <v>0</v>
      </c>
      <c r="G21" s="482">
        <v>0</v>
      </c>
      <c r="H21" s="482">
        <v>0</v>
      </c>
      <c r="I21" s="482">
        <v>0</v>
      </c>
      <c r="J21" s="482">
        <v>0</v>
      </c>
      <c r="K21" s="482">
        <v>0</v>
      </c>
      <c r="L21" s="482">
        <v>0</v>
      </c>
      <c r="M21" s="1096">
        <f t="shared" si="0"/>
        <v>0</v>
      </c>
      <c r="N21" s="479">
        <f t="shared" si="1"/>
        <v>0</v>
      </c>
      <c r="O21" s="210" t="s">
        <v>284</v>
      </c>
    </row>
    <row r="22" spans="1:15" ht="18" customHeight="1">
      <c r="A22" s="226" t="s">
        <v>19</v>
      </c>
      <c r="B22" s="483">
        <v>0</v>
      </c>
      <c r="C22" s="483">
        <v>0</v>
      </c>
      <c r="D22" s="483">
        <v>0</v>
      </c>
      <c r="E22" s="483">
        <v>0</v>
      </c>
      <c r="F22" s="483">
        <v>0</v>
      </c>
      <c r="G22" s="483">
        <v>0</v>
      </c>
      <c r="H22" s="483">
        <v>0</v>
      </c>
      <c r="I22" s="483">
        <v>0</v>
      </c>
      <c r="J22" s="483">
        <v>0</v>
      </c>
      <c r="K22" s="483">
        <v>0</v>
      </c>
      <c r="L22" s="483">
        <v>0</v>
      </c>
      <c r="M22" s="1097">
        <f t="shared" si="0"/>
        <v>0</v>
      </c>
      <c r="N22" s="129">
        <f t="shared" si="1"/>
        <v>0</v>
      </c>
      <c r="O22" s="128" t="s">
        <v>20</v>
      </c>
    </row>
    <row r="23" spans="1:15" ht="18" customHeight="1" thickBot="1">
      <c r="A23" s="475" t="s">
        <v>21</v>
      </c>
      <c r="B23" s="476">
        <f t="shared" ref="B23:L23" si="2">SUM(B9:B22)</f>
        <v>0</v>
      </c>
      <c r="C23" s="476">
        <f t="shared" si="2"/>
        <v>0</v>
      </c>
      <c r="D23" s="476">
        <f t="shared" si="2"/>
        <v>16</v>
      </c>
      <c r="E23" s="476">
        <f t="shared" si="2"/>
        <v>20</v>
      </c>
      <c r="F23" s="476">
        <f t="shared" si="2"/>
        <v>35</v>
      </c>
      <c r="G23" s="476">
        <f t="shared" si="2"/>
        <v>20</v>
      </c>
      <c r="H23" s="476">
        <f t="shared" si="2"/>
        <v>20</v>
      </c>
      <c r="I23" s="476">
        <f t="shared" si="2"/>
        <v>21</v>
      </c>
      <c r="J23" s="476">
        <f t="shared" si="2"/>
        <v>7</v>
      </c>
      <c r="K23" s="476">
        <f t="shared" si="2"/>
        <v>0</v>
      </c>
      <c r="L23" s="476">
        <f t="shared" si="2"/>
        <v>0</v>
      </c>
      <c r="M23" s="476">
        <f>SUM(M9:M22)</f>
        <v>139</v>
      </c>
      <c r="N23" s="476">
        <f t="shared" ref="N23" si="3">SUM(N9:N22)</f>
        <v>100</v>
      </c>
      <c r="O23" s="477" t="s">
        <v>176</v>
      </c>
    </row>
    <row r="24" spans="1:15" ht="18" customHeight="1">
      <c r="A24" s="309" t="s">
        <v>596</v>
      </c>
      <c r="B24" s="472">
        <f>B23/$M$23%</f>
        <v>0</v>
      </c>
      <c r="C24" s="472">
        <f t="shared" ref="C24:L24" si="4">C23/$M$23%</f>
        <v>0</v>
      </c>
      <c r="D24" s="472">
        <f t="shared" si="4"/>
        <v>11.510791366906476</v>
      </c>
      <c r="E24" s="472">
        <f t="shared" si="4"/>
        <v>14.388489208633095</v>
      </c>
      <c r="F24" s="472">
        <f t="shared" si="4"/>
        <v>25.179856115107917</v>
      </c>
      <c r="G24" s="472">
        <f t="shared" si="4"/>
        <v>14.388489208633095</v>
      </c>
      <c r="H24" s="472">
        <f t="shared" si="4"/>
        <v>14.388489208633095</v>
      </c>
      <c r="I24" s="472">
        <f t="shared" si="4"/>
        <v>15.107913669064748</v>
      </c>
      <c r="J24" s="472">
        <f t="shared" si="4"/>
        <v>5.0359712230215834</v>
      </c>
      <c r="K24" s="472">
        <f t="shared" si="4"/>
        <v>0</v>
      </c>
      <c r="L24" s="472">
        <f t="shared" si="4"/>
        <v>0</v>
      </c>
      <c r="M24" s="472">
        <f>SUM(B24:L24)</f>
        <v>100</v>
      </c>
      <c r="N24" s="473"/>
      <c r="O24" s="474" t="s">
        <v>24</v>
      </c>
    </row>
    <row r="25" spans="1:15">
      <c r="A25" s="159" t="s">
        <v>1275</v>
      </c>
      <c r="O25" s="1" t="s">
        <v>1276</v>
      </c>
    </row>
    <row r="31" spans="1:15" ht="217.5" thickBot="1">
      <c r="B31" s="74" t="s">
        <v>1013</v>
      </c>
      <c r="C31" s="74" t="s">
        <v>1012</v>
      </c>
    </row>
    <row r="32" spans="1:15" ht="15.75" thickBot="1">
      <c r="A32" s="157">
        <v>-20</v>
      </c>
      <c r="B32" s="484">
        <f>B23</f>
        <v>0</v>
      </c>
      <c r="C32" s="1">
        <f>M9</f>
        <v>0</v>
      </c>
    </row>
    <row r="33" spans="1:3" ht="15.75" thickBot="1">
      <c r="A33" s="157" t="s">
        <v>10</v>
      </c>
      <c r="B33" s="1">
        <f>C23</f>
        <v>0</v>
      </c>
      <c r="C33" s="1">
        <f t="shared" ref="C33:C40" si="5">M10</f>
        <v>0</v>
      </c>
    </row>
    <row r="34" spans="1:3" ht="15.75" thickBot="1">
      <c r="A34" s="157" t="s">
        <v>11</v>
      </c>
      <c r="B34" s="1">
        <f>D23</f>
        <v>16</v>
      </c>
      <c r="C34" s="1">
        <f t="shared" si="5"/>
        <v>1</v>
      </c>
    </row>
    <row r="35" spans="1:3" ht="15.75" thickBot="1">
      <c r="A35" s="157" t="s">
        <v>12</v>
      </c>
      <c r="B35" s="1">
        <f>E23</f>
        <v>20</v>
      </c>
      <c r="C35" s="1">
        <f t="shared" si="5"/>
        <v>5</v>
      </c>
    </row>
    <row r="36" spans="1:3" ht="15.75" thickBot="1">
      <c r="A36" s="157" t="s">
        <v>13</v>
      </c>
      <c r="B36" s="1">
        <f>F23</f>
        <v>35</v>
      </c>
      <c r="C36" s="1">
        <f t="shared" si="5"/>
        <v>8</v>
      </c>
    </row>
    <row r="37" spans="1:3" ht="15.75" thickBot="1">
      <c r="A37" s="157" t="s">
        <v>14</v>
      </c>
      <c r="B37" s="1">
        <f>G23</f>
        <v>20</v>
      </c>
      <c r="C37" s="1">
        <f t="shared" si="5"/>
        <v>20</v>
      </c>
    </row>
    <row r="38" spans="1:3" ht="15.75" thickBot="1">
      <c r="A38" s="157" t="s">
        <v>15</v>
      </c>
      <c r="B38" s="1">
        <f>H23</f>
        <v>20</v>
      </c>
      <c r="C38" s="1">
        <f t="shared" si="5"/>
        <v>17</v>
      </c>
    </row>
    <row r="39" spans="1:3" ht="15.75" thickBot="1">
      <c r="A39" s="157" t="s">
        <v>16</v>
      </c>
      <c r="B39" s="1">
        <f>I23</f>
        <v>21</v>
      </c>
      <c r="C39" s="1">
        <f t="shared" si="5"/>
        <v>38</v>
      </c>
    </row>
    <row r="40" spans="1:3" ht="15.75" thickBot="1">
      <c r="A40" s="157" t="s">
        <v>17</v>
      </c>
      <c r="B40" s="1">
        <f>J23</f>
        <v>7</v>
      </c>
      <c r="C40" s="1">
        <f t="shared" si="5"/>
        <v>12</v>
      </c>
    </row>
    <row r="41" spans="1:3" ht="15.75" thickBot="1">
      <c r="A41" s="157" t="s">
        <v>18</v>
      </c>
      <c r="B41" s="1">
        <f>K23</f>
        <v>0</v>
      </c>
      <c r="C41" s="1">
        <f>SUM(M18:M21)</f>
        <v>38</v>
      </c>
    </row>
    <row r="42" spans="1:3" ht="30.75" thickBot="1">
      <c r="A42" s="157" t="s">
        <v>779</v>
      </c>
      <c r="B42" s="484">
        <f>L23</f>
        <v>0</v>
      </c>
      <c r="C42" s="1">
        <f>M22</f>
        <v>0</v>
      </c>
    </row>
    <row r="43" spans="1:3">
      <c r="B43" s="484">
        <f>SUM(B32:B42)</f>
        <v>139</v>
      </c>
      <c r="C43" s="484">
        <f>SUM(C32:C42)</f>
        <v>139</v>
      </c>
    </row>
  </sheetData>
  <mergeCells count="8">
    <mergeCell ref="A7:A8"/>
    <mergeCell ref="B7:M7"/>
    <mergeCell ref="O7:O8"/>
    <mergeCell ref="N7:N8"/>
    <mergeCell ref="A1:O1"/>
    <mergeCell ref="A2:O2"/>
    <mergeCell ref="A3:O3"/>
    <mergeCell ref="A4:O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N37"/>
  <sheetViews>
    <sheetView rightToLeft="1" view="pageBreakPreview" zoomScaleNormal="100" zoomScaleSheetLayoutView="100" workbookViewId="0">
      <selection activeCell="P11" sqref="P11"/>
    </sheetView>
  </sheetViews>
  <sheetFormatPr defaultColWidth="9.140625" defaultRowHeight="12.75"/>
  <cols>
    <col min="1" max="16384" width="9.140625" style="1"/>
  </cols>
  <sheetData>
    <row r="37" spans="1:14" ht="15.75">
      <c r="A37" s="945" t="s">
        <v>599</v>
      </c>
      <c r="B37" s="945"/>
      <c r="C37" s="945"/>
      <c r="D37" s="945"/>
      <c r="E37" s="945"/>
      <c r="F37" s="945"/>
      <c r="G37" s="945"/>
      <c r="H37" s="945"/>
      <c r="I37" s="945"/>
      <c r="J37" s="945"/>
      <c r="K37" s="945"/>
      <c r="L37" s="945"/>
      <c r="M37" s="945"/>
      <c r="N37" s="945"/>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rightToLeft="1" view="pageBreakPreview" topLeftCell="A4" zoomScaleNormal="100" zoomScaleSheetLayoutView="100" workbookViewId="0">
      <selection activeCell="M9" sqref="M9:M22"/>
    </sheetView>
  </sheetViews>
  <sheetFormatPr defaultColWidth="9.140625" defaultRowHeight="12.75"/>
  <cols>
    <col min="1" max="1" width="17.85546875" style="1" customWidth="1"/>
    <col min="2" max="2" width="7" style="1" customWidth="1"/>
    <col min="3" max="3" width="8.140625" style="1" customWidth="1"/>
    <col min="4" max="9" width="7.42578125" style="1" bestFit="1" customWidth="1"/>
    <col min="10" max="10" width="7.7109375" style="1" customWidth="1"/>
    <col min="11" max="11" width="7.42578125" style="1" bestFit="1" customWidth="1"/>
    <col min="12" max="12" width="11.7109375" style="1" customWidth="1"/>
    <col min="13" max="13" width="7.85546875" style="1" customWidth="1"/>
    <col min="14" max="14" width="11.7109375" style="1" customWidth="1"/>
    <col min="15" max="15" width="17.85546875" style="1" customWidth="1"/>
    <col min="16" max="16384" width="9.140625" style="1"/>
  </cols>
  <sheetData>
    <row r="1" spans="1:18" s="2" customFormat="1" ht="21.75" customHeight="1">
      <c r="A1" s="934" t="s">
        <v>598</v>
      </c>
      <c r="B1" s="934"/>
      <c r="C1" s="934"/>
      <c r="D1" s="934"/>
      <c r="E1" s="934"/>
      <c r="F1" s="934"/>
      <c r="G1" s="934"/>
      <c r="H1" s="934"/>
      <c r="I1" s="934"/>
      <c r="J1" s="934"/>
      <c r="K1" s="934"/>
      <c r="L1" s="934"/>
      <c r="M1" s="934"/>
      <c r="N1" s="934"/>
      <c r="O1" s="934"/>
    </row>
    <row r="2" spans="1:18" s="2" customFormat="1" ht="15.75" customHeight="1">
      <c r="A2" s="958" t="s">
        <v>934</v>
      </c>
      <c r="B2" s="958"/>
      <c r="C2" s="958"/>
      <c r="D2" s="958"/>
      <c r="E2" s="958"/>
      <c r="F2" s="958"/>
      <c r="G2" s="958"/>
      <c r="H2" s="958"/>
      <c r="I2" s="958"/>
      <c r="J2" s="958"/>
      <c r="K2" s="958"/>
      <c r="L2" s="958"/>
      <c r="M2" s="958"/>
      <c r="N2" s="958"/>
      <c r="O2" s="958"/>
    </row>
    <row r="3" spans="1:18" s="2" customFormat="1" ht="18" customHeight="1">
      <c r="A3" s="959">
        <v>2015</v>
      </c>
      <c r="B3" s="959"/>
      <c r="C3" s="959"/>
      <c r="D3" s="959"/>
      <c r="E3" s="959"/>
      <c r="F3" s="959"/>
      <c r="G3" s="959"/>
      <c r="H3" s="959"/>
      <c r="I3" s="959"/>
      <c r="J3" s="959"/>
      <c r="K3" s="959"/>
      <c r="L3" s="959"/>
      <c r="M3" s="959"/>
      <c r="N3" s="959"/>
      <c r="O3" s="959"/>
      <c r="P3" s="125"/>
      <c r="Q3" s="125"/>
      <c r="R3" s="125"/>
    </row>
    <row r="4" spans="1:18" s="2" customFormat="1" ht="15.75">
      <c r="A4" s="959" t="s">
        <v>172</v>
      </c>
      <c r="B4" s="959"/>
      <c r="C4" s="959"/>
      <c r="D4" s="959"/>
      <c r="E4" s="959"/>
      <c r="F4" s="959"/>
      <c r="G4" s="959"/>
      <c r="H4" s="959"/>
      <c r="I4" s="959"/>
      <c r="J4" s="959"/>
      <c r="K4" s="959"/>
      <c r="L4" s="959"/>
      <c r="M4" s="959"/>
      <c r="N4" s="959"/>
      <c r="O4" s="959"/>
    </row>
    <row r="5" spans="1:18" s="2" customFormat="1" ht="15.75">
      <c r="A5" s="635"/>
      <c r="B5" s="635"/>
      <c r="C5" s="635"/>
      <c r="D5" s="635"/>
      <c r="E5" s="635"/>
      <c r="F5" s="635"/>
      <c r="G5" s="635"/>
      <c r="H5" s="635"/>
      <c r="I5" s="635"/>
      <c r="J5" s="635"/>
      <c r="K5" s="635"/>
      <c r="L5" s="635"/>
      <c r="M5" s="635"/>
      <c r="N5" s="635"/>
      <c r="O5" s="635"/>
    </row>
    <row r="6" spans="1:18" ht="15.75">
      <c r="A6" s="648" t="s">
        <v>820</v>
      </c>
      <c r="B6" s="652"/>
      <c r="C6" s="652"/>
      <c r="D6" s="652"/>
      <c r="E6" s="652"/>
      <c r="F6" s="652"/>
      <c r="G6" s="652"/>
      <c r="H6" s="652"/>
      <c r="I6" s="652"/>
      <c r="J6" s="652"/>
      <c r="K6" s="652"/>
      <c r="L6" s="652"/>
      <c r="M6" s="652"/>
      <c r="N6" s="652"/>
      <c r="O6" s="650" t="s">
        <v>821</v>
      </c>
    </row>
    <row r="7" spans="1:18" ht="26.25" customHeight="1">
      <c r="A7" s="1062" t="s">
        <v>314</v>
      </c>
      <c r="B7" s="969" t="s">
        <v>278</v>
      </c>
      <c r="C7" s="1057"/>
      <c r="D7" s="1057"/>
      <c r="E7" s="1057"/>
      <c r="F7" s="1057"/>
      <c r="G7" s="1057"/>
      <c r="H7" s="1057"/>
      <c r="I7" s="1057"/>
      <c r="J7" s="1057"/>
      <c r="K7" s="1057"/>
      <c r="L7" s="1057"/>
      <c r="M7" s="1057"/>
      <c r="N7" s="1070" t="s">
        <v>597</v>
      </c>
      <c r="O7" s="1067" t="s">
        <v>565</v>
      </c>
    </row>
    <row r="8" spans="1:18" ht="47.25" customHeight="1">
      <c r="A8" s="1063"/>
      <c r="B8" s="577">
        <v>-20</v>
      </c>
      <c r="C8" s="577" t="s">
        <v>10</v>
      </c>
      <c r="D8" s="577" t="s">
        <v>11</v>
      </c>
      <c r="E8" s="577" t="s">
        <v>12</v>
      </c>
      <c r="F8" s="577" t="s">
        <v>13</v>
      </c>
      <c r="G8" s="577" t="s">
        <v>14</v>
      </c>
      <c r="H8" s="577" t="s">
        <v>15</v>
      </c>
      <c r="I8" s="577" t="s">
        <v>16</v>
      </c>
      <c r="J8" s="577" t="s">
        <v>17</v>
      </c>
      <c r="K8" s="577" t="s">
        <v>18</v>
      </c>
      <c r="L8" s="586" t="s">
        <v>8</v>
      </c>
      <c r="M8" s="583" t="s">
        <v>256</v>
      </c>
      <c r="N8" s="1071"/>
      <c r="O8" s="1068"/>
    </row>
    <row r="9" spans="1:18" ht="18" customHeight="1" thickBot="1">
      <c r="A9" s="310">
        <v>-20</v>
      </c>
      <c r="B9" s="495">
        <v>0</v>
      </c>
      <c r="C9" s="495">
        <v>0</v>
      </c>
      <c r="D9" s="495">
        <v>0</v>
      </c>
      <c r="E9" s="495">
        <v>0</v>
      </c>
      <c r="F9" s="495">
        <v>0</v>
      </c>
      <c r="G9" s="495">
        <v>0</v>
      </c>
      <c r="H9" s="495">
        <v>0</v>
      </c>
      <c r="I9" s="495">
        <v>0</v>
      </c>
      <c r="J9" s="495">
        <v>0</v>
      </c>
      <c r="K9" s="495">
        <v>0</v>
      </c>
      <c r="L9" s="495">
        <v>0</v>
      </c>
      <c r="M9" s="1094">
        <f>SUM(B9:L9)</f>
        <v>0</v>
      </c>
      <c r="N9" s="478">
        <f>M9/$M$23%</f>
        <v>0</v>
      </c>
      <c r="O9" s="487">
        <v>-20</v>
      </c>
    </row>
    <row r="10" spans="1:18" ht="18" customHeight="1" thickBot="1">
      <c r="A10" s="225" t="s">
        <v>10</v>
      </c>
      <c r="B10" s="492">
        <v>0</v>
      </c>
      <c r="C10" s="492">
        <v>0</v>
      </c>
      <c r="D10" s="492">
        <v>0</v>
      </c>
      <c r="E10" s="492">
        <v>0</v>
      </c>
      <c r="F10" s="492">
        <v>0</v>
      </c>
      <c r="G10" s="492">
        <v>0</v>
      </c>
      <c r="H10" s="492">
        <v>0</v>
      </c>
      <c r="I10" s="492">
        <v>0</v>
      </c>
      <c r="J10" s="492">
        <v>0</v>
      </c>
      <c r="K10" s="492">
        <v>0</v>
      </c>
      <c r="L10" s="492">
        <v>0</v>
      </c>
      <c r="M10" s="1095">
        <f t="shared" ref="M10:M22" si="0">SUM(B10:L10)</f>
        <v>0</v>
      </c>
      <c r="N10" s="12">
        <f t="shared" ref="N10:N22" si="1">M10/$M$23%</f>
        <v>0</v>
      </c>
      <c r="O10" s="13" t="s">
        <v>10</v>
      </c>
    </row>
    <row r="11" spans="1:18" ht="18" customHeight="1" thickBot="1">
      <c r="A11" s="209" t="s">
        <v>11</v>
      </c>
      <c r="B11" s="493">
        <v>0</v>
      </c>
      <c r="C11" s="493">
        <v>0</v>
      </c>
      <c r="D11" s="493">
        <v>0</v>
      </c>
      <c r="E11" s="493">
        <v>0</v>
      </c>
      <c r="F11" s="493">
        <v>0</v>
      </c>
      <c r="G11" s="493">
        <v>0</v>
      </c>
      <c r="H11" s="493">
        <v>0</v>
      </c>
      <c r="I11" s="493">
        <v>0</v>
      </c>
      <c r="J11" s="493">
        <v>0</v>
      </c>
      <c r="K11" s="493">
        <v>0</v>
      </c>
      <c r="L11" s="493">
        <v>0</v>
      </c>
      <c r="M11" s="1096">
        <f t="shared" si="0"/>
        <v>0</v>
      </c>
      <c r="N11" s="479">
        <f t="shared" si="1"/>
        <v>0</v>
      </c>
      <c r="O11" s="210" t="s">
        <v>11</v>
      </c>
    </row>
    <row r="12" spans="1:18" ht="18" customHeight="1" thickBot="1">
      <c r="A12" s="225" t="s">
        <v>12</v>
      </c>
      <c r="B12" s="492">
        <v>0</v>
      </c>
      <c r="C12" s="492">
        <v>0</v>
      </c>
      <c r="D12" s="492">
        <v>3</v>
      </c>
      <c r="E12" s="492">
        <v>0</v>
      </c>
      <c r="F12" s="492">
        <v>3</v>
      </c>
      <c r="G12" s="492">
        <v>0</v>
      </c>
      <c r="H12" s="492">
        <v>0</v>
      </c>
      <c r="I12" s="492">
        <v>0</v>
      </c>
      <c r="J12" s="492">
        <v>0</v>
      </c>
      <c r="K12" s="492">
        <v>0</v>
      </c>
      <c r="L12" s="492">
        <v>0</v>
      </c>
      <c r="M12" s="1095">
        <f t="shared" si="0"/>
        <v>6</v>
      </c>
      <c r="N12" s="12">
        <f t="shared" si="1"/>
        <v>5.8823529411764701</v>
      </c>
      <c r="O12" s="13" t="s">
        <v>12</v>
      </c>
    </row>
    <row r="13" spans="1:18" ht="18" customHeight="1" thickBot="1">
      <c r="A13" s="209" t="s">
        <v>13</v>
      </c>
      <c r="B13" s="493">
        <v>0</v>
      </c>
      <c r="C13" s="493">
        <v>0</v>
      </c>
      <c r="D13" s="493">
        <v>7</v>
      </c>
      <c r="E13" s="493">
        <v>3</v>
      </c>
      <c r="F13" s="493">
        <v>1</v>
      </c>
      <c r="G13" s="493">
        <v>0</v>
      </c>
      <c r="H13" s="493">
        <v>0</v>
      </c>
      <c r="I13" s="493">
        <v>0</v>
      </c>
      <c r="J13" s="493">
        <v>0</v>
      </c>
      <c r="K13" s="493">
        <v>0</v>
      </c>
      <c r="L13" s="493">
        <v>0</v>
      </c>
      <c r="M13" s="1096">
        <f t="shared" si="0"/>
        <v>11</v>
      </c>
      <c r="N13" s="479">
        <f t="shared" si="1"/>
        <v>10.784313725490195</v>
      </c>
      <c r="O13" s="210" t="s">
        <v>13</v>
      </c>
    </row>
    <row r="14" spans="1:18" ht="18" customHeight="1" thickBot="1">
      <c r="A14" s="225" t="s">
        <v>14</v>
      </c>
      <c r="B14" s="492">
        <v>0</v>
      </c>
      <c r="C14" s="492">
        <v>0</v>
      </c>
      <c r="D14" s="492">
        <v>0</v>
      </c>
      <c r="E14" s="492">
        <v>5</v>
      </c>
      <c r="F14" s="492">
        <v>3</v>
      </c>
      <c r="G14" s="492">
        <v>2</v>
      </c>
      <c r="H14" s="492">
        <v>4</v>
      </c>
      <c r="I14" s="492">
        <v>0</v>
      </c>
      <c r="J14" s="492">
        <v>0</v>
      </c>
      <c r="K14" s="492">
        <v>0</v>
      </c>
      <c r="L14" s="492">
        <v>0</v>
      </c>
      <c r="M14" s="1095">
        <f t="shared" si="0"/>
        <v>14</v>
      </c>
      <c r="N14" s="12">
        <f t="shared" si="1"/>
        <v>13.725490196078431</v>
      </c>
      <c r="O14" s="13" t="s">
        <v>14</v>
      </c>
    </row>
    <row r="15" spans="1:18" ht="18" customHeight="1" thickBot="1">
      <c r="A15" s="209" t="s">
        <v>15</v>
      </c>
      <c r="B15" s="493">
        <v>0</v>
      </c>
      <c r="C15" s="493">
        <v>2</v>
      </c>
      <c r="D15" s="493">
        <v>10</v>
      </c>
      <c r="E15" s="493">
        <v>14</v>
      </c>
      <c r="F15" s="493">
        <v>8</v>
      </c>
      <c r="G15" s="493">
        <v>10</v>
      </c>
      <c r="H15" s="493">
        <v>0</v>
      </c>
      <c r="I15" s="493">
        <v>0</v>
      </c>
      <c r="J15" s="493">
        <v>0</v>
      </c>
      <c r="K15" s="493">
        <v>0</v>
      </c>
      <c r="L15" s="493">
        <v>0</v>
      </c>
      <c r="M15" s="1096">
        <f t="shared" si="0"/>
        <v>44</v>
      </c>
      <c r="N15" s="479">
        <f t="shared" si="1"/>
        <v>43.13725490196078</v>
      </c>
      <c r="O15" s="210" t="s">
        <v>15</v>
      </c>
    </row>
    <row r="16" spans="1:18" ht="18" customHeight="1" thickBot="1">
      <c r="A16" s="225" t="s">
        <v>16</v>
      </c>
      <c r="B16" s="492">
        <v>0</v>
      </c>
      <c r="C16" s="492">
        <v>0</v>
      </c>
      <c r="D16" s="492">
        <v>2</v>
      </c>
      <c r="E16" s="492">
        <v>1</v>
      </c>
      <c r="F16" s="492">
        <v>5</v>
      </c>
      <c r="G16" s="492">
        <v>0</v>
      </c>
      <c r="H16" s="492">
        <v>0</v>
      </c>
      <c r="I16" s="492">
        <v>0</v>
      </c>
      <c r="J16" s="492">
        <v>0</v>
      </c>
      <c r="K16" s="492">
        <v>0</v>
      </c>
      <c r="L16" s="492">
        <v>0</v>
      </c>
      <c r="M16" s="1095">
        <f t="shared" si="0"/>
        <v>8</v>
      </c>
      <c r="N16" s="12">
        <f t="shared" si="1"/>
        <v>7.8431372549019605</v>
      </c>
      <c r="O16" s="13" t="s">
        <v>16</v>
      </c>
    </row>
    <row r="17" spans="1:15" ht="18" customHeight="1" thickBot="1">
      <c r="A17" s="209" t="s">
        <v>17</v>
      </c>
      <c r="B17" s="493">
        <v>0</v>
      </c>
      <c r="C17" s="493">
        <v>0</v>
      </c>
      <c r="D17" s="493">
        <v>0</v>
      </c>
      <c r="E17" s="493">
        <v>0</v>
      </c>
      <c r="F17" s="493">
        <v>0</v>
      </c>
      <c r="G17" s="493">
        <v>0</v>
      </c>
      <c r="H17" s="493">
        <v>4</v>
      </c>
      <c r="I17" s="493">
        <v>0</v>
      </c>
      <c r="J17" s="493">
        <v>0</v>
      </c>
      <c r="K17" s="493">
        <v>0</v>
      </c>
      <c r="L17" s="493">
        <v>0</v>
      </c>
      <c r="M17" s="1096">
        <f t="shared" si="0"/>
        <v>4</v>
      </c>
      <c r="N17" s="479">
        <f t="shared" si="1"/>
        <v>3.9215686274509802</v>
      </c>
      <c r="O17" s="210" t="s">
        <v>17</v>
      </c>
    </row>
    <row r="18" spans="1:15" ht="18" customHeight="1" thickBot="1">
      <c r="A18" s="225" t="s">
        <v>287</v>
      </c>
      <c r="B18" s="492">
        <v>0</v>
      </c>
      <c r="C18" s="492">
        <v>0</v>
      </c>
      <c r="D18" s="492">
        <v>0</v>
      </c>
      <c r="E18" s="492">
        <v>0</v>
      </c>
      <c r="F18" s="492">
        <v>0</v>
      </c>
      <c r="G18" s="492">
        <v>15</v>
      </c>
      <c r="H18" s="492">
        <v>0</v>
      </c>
      <c r="I18" s="492">
        <v>0</v>
      </c>
      <c r="J18" s="492">
        <v>0</v>
      </c>
      <c r="K18" s="492">
        <v>0</v>
      </c>
      <c r="L18" s="492">
        <v>0</v>
      </c>
      <c r="M18" s="1095">
        <f t="shared" si="0"/>
        <v>15</v>
      </c>
      <c r="N18" s="12">
        <f t="shared" si="1"/>
        <v>14.705882352941176</v>
      </c>
      <c r="O18" s="13" t="s">
        <v>287</v>
      </c>
    </row>
    <row r="19" spans="1:15" ht="18" customHeight="1" thickBot="1">
      <c r="A19" s="209" t="s">
        <v>286</v>
      </c>
      <c r="B19" s="493">
        <v>0</v>
      </c>
      <c r="C19" s="493">
        <v>0</v>
      </c>
      <c r="D19" s="493">
        <v>0</v>
      </c>
      <c r="E19" s="493">
        <v>0</v>
      </c>
      <c r="F19" s="493">
        <v>0</v>
      </c>
      <c r="G19" s="493">
        <v>0</v>
      </c>
      <c r="H19" s="493">
        <v>0</v>
      </c>
      <c r="I19" s="493">
        <v>0</v>
      </c>
      <c r="J19" s="493">
        <v>0</v>
      </c>
      <c r="K19" s="493">
        <v>0</v>
      </c>
      <c r="L19" s="493">
        <v>0</v>
      </c>
      <c r="M19" s="1096">
        <f t="shared" si="0"/>
        <v>0</v>
      </c>
      <c r="N19" s="479">
        <f t="shared" si="1"/>
        <v>0</v>
      </c>
      <c r="O19" s="210" t="s">
        <v>286</v>
      </c>
    </row>
    <row r="20" spans="1:15" ht="18" customHeight="1" thickBot="1">
      <c r="A20" s="225" t="s">
        <v>285</v>
      </c>
      <c r="B20" s="492">
        <v>0</v>
      </c>
      <c r="C20" s="492">
        <v>0</v>
      </c>
      <c r="D20" s="492">
        <v>0</v>
      </c>
      <c r="E20" s="492">
        <v>0</v>
      </c>
      <c r="F20" s="492">
        <v>0</v>
      </c>
      <c r="G20" s="492">
        <v>0</v>
      </c>
      <c r="H20" s="492">
        <v>0</v>
      </c>
      <c r="I20" s="492">
        <v>0</v>
      </c>
      <c r="J20" s="492">
        <v>0</v>
      </c>
      <c r="K20" s="492">
        <v>0</v>
      </c>
      <c r="L20" s="492">
        <v>0</v>
      </c>
      <c r="M20" s="1095">
        <f t="shared" si="0"/>
        <v>0</v>
      </c>
      <c r="N20" s="12">
        <f t="shared" si="1"/>
        <v>0</v>
      </c>
      <c r="O20" s="13" t="s">
        <v>285</v>
      </c>
    </row>
    <row r="21" spans="1:15" ht="18" customHeight="1" thickBot="1">
      <c r="A21" s="209" t="s">
        <v>284</v>
      </c>
      <c r="B21" s="493">
        <v>0</v>
      </c>
      <c r="C21" s="493">
        <v>0</v>
      </c>
      <c r="D21" s="493">
        <v>0</v>
      </c>
      <c r="E21" s="493">
        <v>0</v>
      </c>
      <c r="F21" s="493">
        <v>0</v>
      </c>
      <c r="G21" s="493">
        <v>0</v>
      </c>
      <c r="H21" s="493">
        <v>0</v>
      </c>
      <c r="I21" s="493">
        <v>0</v>
      </c>
      <c r="J21" s="493">
        <v>0</v>
      </c>
      <c r="K21" s="493">
        <v>0</v>
      </c>
      <c r="L21" s="493">
        <v>0</v>
      </c>
      <c r="M21" s="1096">
        <f t="shared" si="0"/>
        <v>0</v>
      </c>
      <c r="N21" s="479">
        <f t="shared" si="1"/>
        <v>0</v>
      </c>
      <c r="O21" s="210" t="s">
        <v>284</v>
      </c>
    </row>
    <row r="22" spans="1:15" ht="18" customHeight="1">
      <c r="A22" s="226" t="s">
        <v>19</v>
      </c>
      <c r="B22" s="494">
        <v>0</v>
      </c>
      <c r="C22" s="494">
        <v>0</v>
      </c>
      <c r="D22" s="494">
        <v>0</v>
      </c>
      <c r="E22" s="494">
        <v>0</v>
      </c>
      <c r="F22" s="494">
        <v>0</v>
      </c>
      <c r="G22" s="494">
        <v>0</v>
      </c>
      <c r="H22" s="494">
        <v>0</v>
      </c>
      <c r="I22" s="494">
        <v>0</v>
      </c>
      <c r="J22" s="494">
        <v>0</v>
      </c>
      <c r="K22" s="494">
        <v>0</v>
      </c>
      <c r="L22" s="494">
        <v>0</v>
      </c>
      <c r="M22" s="1097">
        <f t="shared" si="0"/>
        <v>0</v>
      </c>
      <c r="N22" s="129">
        <f t="shared" si="1"/>
        <v>0</v>
      </c>
      <c r="O22" s="128" t="s">
        <v>20</v>
      </c>
    </row>
    <row r="23" spans="1:15" ht="18" customHeight="1" thickBot="1">
      <c r="A23" s="475" t="s">
        <v>21</v>
      </c>
      <c r="B23" s="488">
        <f t="shared" ref="B23:M23" si="2">SUM(B9:B22)</f>
        <v>0</v>
      </c>
      <c r="C23" s="488">
        <f t="shared" si="2"/>
        <v>2</v>
      </c>
      <c r="D23" s="488">
        <f t="shared" si="2"/>
        <v>22</v>
      </c>
      <c r="E23" s="488">
        <f t="shared" si="2"/>
        <v>23</v>
      </c>
      <c r="F23" s="488">
        <f t="shared" si="2"/>
        <v>20</v>
      </c>
      <c r="G23" s="488">
        <f t="shared" si="2"/>
        <v>27</v>
      </c>
      <c r="H23" s="488">
        <f t="shared" si="2"/>
        <v>8</v>
      </c>
      <c r="I23" s="488">
        <f t="shared" si="2"/>
        <v>0</v>
      </c>
      <c r="J23" s="488">
        <f t="shared" si="2"/>
        <v>0</v>
      </c>
      <c r="K23" s="488">
        <f t="shared" si="2"/>
        <v>0</v>
      </c>
      <c r="L23" s="488">
        <f t="shared" si="2"/>
        <v>0</v>
      </c>
      <c r="M23" s="488">
        <f t="shared" si="2"/>
        <v>102</v>
      </c>
      <c r="N23" s="488">
        <f t="shared" ref="N23" si="3">SUM(N9:N22)</f>
        <v>100</v>
      </c>
      <c r="O23" s="477" t="s">
        <v>176</v>
      </c>
    </row>
    <row r="24" spans="1:15" ht="18" customHeight="1">
      <c r="A24" s="309" t="s">
        <v>596</v>
      </c>
      <c r="B24" s="472">
        <f t="shared" ref="B24:L24" si="4">B23/$M$23%</f>
        <v>0</v>
      </c>
      <c r="C24" s="472">
        <f t="shared" si="4"/>
        <v>1.9607843137254901</v>
      </c>
      <c r="D24" s="472">
        <f t="shared" si="4"/>
        <v>21.56862745098039</v>
      </c>
      <c r="E24" s="472">
        <f t="shared" si="4"/>
        <v>22.549019607843135</v>
      </c>
      <c r="F24" s="472">
        <f>F23/$M$23%</f>
        <v>19.607843137254903</v>
      </c>
      <c r="G24" s="472">
        <f t="shared" si="4"/>
        <v>26.470588235294116</v>
      </c>
      <c r="H24" s="472">
        <f t="shared" si="4"/>
        <v>7.8431372549019605</v>
      </c>
      <c r="I24" s="472">
        <f t="shared" si="4"/>
        <v>0</v>
      </c>
      <c r="J24" s="472">
        <f t="shared" si="4"/>
        <v>0</v>
      </c>
      <c r="K24" s="472">
        <f t="shared" si="4"/>
        <v>0</v>
      </c>
      <c r="L24" s="472">
        <f t="shared" si="4"/>
        <v>0</v>
      </c>
      <c r="M24" s="472">
        <f>SUM(B24:L24)</f>
        <v>100</v>
      </c>
      <c r="N24" s="473"/>
      <c r="O24" s="474" t="s">
        <v>24</v>
      </c>
    </row>
    <row r="25" spans="1:15">
      <c r="A25" s="159" t="s">
        <v>988</v>
      </c>
      <c r="O25" s="1" t="s">
        <v>989</v>
      </c>
    </row>
    <row r="31" spans="1:15" ht="192" thickBot="1">
      <c r="B31" s="74" t="s">
        <v>1013</v>
      </c>
      <c r="C31" s="74" t="s">
        <v>1012</v>
      </c>
    </row>
    <row r="32" spans="1:15" ht="15.75" thickBot="1">
      <c r="A32" s="157">
        <v>-20</v>
      </c>
      <c r="B32" s="1">
        <f>B23</f>
        <v>0</v>
      </c>
      <c r="C32" s="1">
        <f>M9</f>
        <v>0</v>
      </c>
    </row>
    <row r="33" spans="1:3" ht="15.75" thickBot="1">
      <c r="A33" s="157" t="s">
        <v>10</v>
      </c>
      <c r="B33" s="1">
        <f>C23</f>
        <v>2</v>
      </c>
      <c r="C33" s="1">
        <f t="shared" ref="C33:C40" si="5">M10</f>
        <v>0</v>
      </c>
    </row>
    <row r="34" spans="1:3" ht="15.75" thickBot="1">
      <c r="A34" s="157" t="s">
        <v>11</v>
      </c>
      <c r="B34" s="1">
        <f>D23</f>
        <v>22</v>
      </c>
      <c r="C34" s="1">
        <f t="shared" si="5"/>
        <v>0</v>
      </c>
    </row>
    <row r="35" spans="1:3" ht="15.75" thickBot="1">
      <c r="A35" s="157" t="s">
        <v>12</v>
      </c>
      <c r="B35" s="1">
        <f>E23</f>
        <v>23</v>
      </c>
      <c r="C35" s="1">
        <f t="shared" si="5"/>
        <v>6</v>
      </c>
    </row>
    <row r="36" spans="1:3" ht="15.75" thickBot="1">
      <c r="A36" s="157" t="s">
        <v>13</v>
      </c>
      <c r="B36" s="1">
        <f>F23</f>
        <v>20</v>
      </c>
      <c r="C36" s="1">
        <f t="shared" si="5"/>
        <v>11</v>
      </c>
    </row>
    <row r="37" spans="1:3" ht="15.75" thickBot="1">
      <c r="A37" s="157" t="s">
        <v>14</v>
      </c>
      <c r="B37" s="1">
        <f>G23</f>
        <v>27</v>
      </c>
      <c r="C37" s="1">
        <f t="shared" si="5"/>
        <v>14</v>
      </c>
    </row>
    <row r="38" spans="1:3" ht="15.75" thickBot="1">
      <c r="A38" s="157" t="s">
        <v>15</v>
      </c>
      <c r="B38" s="1">
        <f>H23</f>
        <v>8</v>
      </c>
      <c r="C38" s="1">
        <f t="shared" si="5"/>
        <v>44</v>
      </c>
    </row>
    <row r="39" spans="1:3" ht="15.75" thickBot="1">
      <c r="A39" s="157" t="s">
        <v>16</v>
      </c>
      <c r="B39" s="1">
        <f>I23</f>
        <v>0</v>
      </c>
      <c r="C39" s="1">
        <f t="shared" si="5"/>
        <v>8</v>
      </c>
    </row>
    <row r="40" spans="1:3" ht="15.75" thickBot="1">
      <c r="A40" s="157" t="s">
        <v>17</v>
      </c>
      <c r="B40" s="1">
        <f>J23</f>
        <v>0</v>
      </c>
      <c r="C40" s="1">
        <f t="shared" si="5"/>
        <v>4</v>
      </c>
    </row>
    <row r="41" spans="1:3" ht="15.75" thickBot="1">
      <c r="A41" s="157" t="s">
        <v>18</v>
      </c>
      <c r="B41" s="1">
        <f>K23</f>
        <v>0</v>
      </c>
      <c r="C41" s="1">
        <f>SUM(M18:M21)</f>
        <v>15</v>
      </c>
    </row>
    <row r="42" spans="1:3" ht="30.75" thickBot="1">
      <c r="A42" s="157" t="s">
        <v>779</v>
      </c>
      <c r="B42" s="484">
        <f>L23</f>
        <v>0</v>
      </c>
      <c r="C42" s="1">
        <f>M22</f>
        <v>0</v>
      </c>
    </row>
    <row r="43" spans="1:3">
      <c r="B43" s="1">
        <f>SUM(B32:B42)</f>
        <v>102</v>
      </c>
      <c r="C43" s="1">
        <f>SUM(C32:C42)</f>
        <v>102</v>
      </c>
    </row>
  </sheetData>
  <mergeCells count="8">
    <mergeCell ref="A7:A8"/>
    <mergeCell ref="B7:M7"/>
    <mergeCell ref="O7:O8"/>
    <mergeCell ref="N7:N8"/>
    <mergeCell ref="A1:O1"/>
    <mergeCell ref="A2:O2"/>
    <mergeCell ref="A3:O3"/>
    <mergeCell ref="A4:O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N37"/>
  <sheetViews>
    <sheetView rightToLeft="1" view="pageBreakPreview" zoomScaleNormal="100" zoomScaleSheetLayoutView="100" workbookViewId="0">
      <selection activeCell="P14" sqref="P14"/>
    </sheetView>
  </sheetViews>
  <sheetFormatPr defaultColWidth="9.140625" defaultRowHeight="12.75"/>
  <cols>
    <col min="1" max="16384" width="9.140625" style="1"/>
  </cols>
  <sheetData>
    <row r="37" spans="1:14" ht="15.75">
      <c r="A37" s="945" t="s">
        <v>600</v>
      </c>
      <c r="B37" s="945"/>
      <c r="C37" s="945"/>
      <c r="D37" s="945"/>
      <c r="E37" s="945"/>
      <c r="F37" s="945"/>
      <c r="G37" s="945"/>
      <c r="H37" s="945"/>
      <c r="I37" s="945"/>
      <c r="J37" s="945"/>
      <c r="K37" s="945"/>
      <c r="L37" s="945"/>
      <c r="M37" s="945"/>
      <c r="N37" s="945"/>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rightToLeft="1" tabSelected="1" view="pageBreakPreview" topLeftCell="A7" zoomScaleNormal="100" zoomScaleSheetLayoutView="100" workbookViewId="0">
      <selection activeCell="A25" sqref="A25"/>
    </sheetView>
  </sheetViews>
  <sheetFormatPr defaultColWidth="9.140625" defaultRowHeight="12.75"/>
  <cols>
    <col min="1" max="1" width="17.85546875" style="1" customWidth="1"/>
    <col min="2" max="2" width="7" style="1" customWidth="1"/>
    <col min="3" max="3" width="8.140625" style="1" customWidth="1"/>
    <col min="4" max="9" width="7.42578125" style="1" bestFit="1" customWidth="1"/>
    <col min="10" max="10" width="7.7109375" style="1" customWidth="1"/>
    <col min="11" max="11" width="7.42578125" style="1" bestFit="1" customWidth="1"/>
    <col min="12" max="12" width="11.7109375" style="1" customWidth="1"/>
    <col min="13" max="13" width="7.85546875" style="1" customWidth="1"/>
    <col min="14" max="14" width="11.7109375" style="1" customWidth="1"/>
    <col min="15" max="15" width="17.85546875" style="1" customWidth="1"/>
    <col min="16" max="16384" width="9.140625" style="1"/>
  </cols>
  <sheetData>
    <row r="1" spans="1:18" s="2" customFormat="1" ht="21.75" customHeight="1">
      <c r="A1" s="934" t="s">
        <v>598</v>
      </c>
      <c r="B1" s="934"/>
      <c r="C1" s="934"/>
      <c r="D1" s="934"/>
      <c r="E1" s="934"/>
      <c r="F1" s="934"/>
      <c r="G1" s="934"/>
      <c r="H1" s="934"/>
      <c r="I1" s="934"/>
      <c r="J1" s="934"/>
      <c r="K1" s="934"/>
      <c r="L1" s="934"/>
      <c r="M1" s="934"/>
      <c r="N1" s="934"/>
      <c r="O1" s="934"/>
    </row>
    <row r="2" spans="1:18" s="2" customFormat="1" ht="15.75" customHeight="1">
      <c r="A2" s="958" t="s">
        <v>934</v>
      </c>
      <c r="B2" s="958"/>
      <c r="C2" s="958"/>
      <c r="D2" s="958"/>
      <c r="E2" s="958"/>
      <c r="F2" s="958"/>
      <c r="G2" s="958"/>
      <c r="H2" s="958"/>
      <c r="I2" s="958"/>
      <c r="J2" s="958"/>
      <c r="K2" s="958"/>
      <c r="L2" s="958"/>
      <c r="M2" s="958"/>
      <c r="N2" s="958"/>
      <c r="O2" s="958"/>
    </row>
    <row r="3" spans="1:18" s="2" customFormat="1" ht="18" customHeight="1">
      <c r="A3" s="959">
        <v>2015</v>
      </c>
      <c r="B3" s="959"/>
      <c r="C3" s="959"/>
      <c r="D3" s="959"/>
      <c r="E3" s="959"/>
      <c r="F3" s="959"/>
      <c r="G3" s="959"/>
      <c r="H3" s="959"/>
      <c r="I3" s="959"/>
      <c r="J3" s="959"/>
      <c r="K3" s="959"/>
      <c r="L3" s="959"/>
      <c r="M3" s="959"/>
      <c r="N3" s="959"/>
      <c r="O3" s="959"/>
      <c r="P3" s="125"/>
      <c r="Q3" s="125"/>
      <c r="R3" s="125"/>
    </row>
    <row r="4" spans="1:18" s="2" customFormat="1" ht="15.75">
      <c r="A4" s="959" t="s">
        <v>1</v>
      </c>
      <c r="B4" s="959"/>
      <c r="C4" s="959"/>
      <c r="D4" s="959"/>
      <c r="E4" s="959"/>
      <c r="F4" s="959"/>
      <c r="G4" s="959"/>
      <c r="H4" s="959"/>
      <c r="I4" s="959"/>
      <c r="J4" s="959"/>
      <c r="K4" s="959"/>
      <c r="L4" s="959"/>
      <c r="M4" s="959"/>
      <c r="N4" s="959"/>
      <c r="O4" s="959"/>
    </row>
    <row r="5" spans="1:18" s="2" customFormat="1" ht="15.75">
      <c r="A5" s="635"/>
      <c r="B5" s="635"/>
      <c r="C5" s="635"/>
      <c r="D5" s="635"/>
      <c r="E5" s="635"/>
      <c r="F5" s="635"/>
      <c r="G5" s="635"/>
      <c r="H5" s="635"/>
      <c r="I5" s="635"/>
      <c r="J5" s="635"/>
      <c r="K5" s="635"/>
      <c r="L5" s="635"/>
      <c r="M5" s="635"/>
      <c r="N5" s="635"/>
      <c r="O5" s="635"/>
    </row>
    <row r="6" spans="1:18" ht="15.75">
      <c r="A6" s="648" t="s">
        <v>818</v>
      </c>
      <c r="B6" s="652"/>
      <c r="C6" s="652"/>
      <c r="D6" s="652"/>
      <c r="E6" s="652"/>
      <c r="F6" s="652"/>
      <c r="G6" s="652"/>
      <c r="H6" s="652"/>
      <c r="I6" s="652"/>
      <c r="J6" s="652"/>
      <c r="K6" s="652"/>
      <c r="L6" s="652"/>
      <c r="M6" s="652"/>
      <c r="N6" s="652"/>
      <c r="O6" s="650" t="s">
        <v>819</v>
      </c>
    </row>
    <row r="7" spans="1:18" ht="26.25" customHeight="1">
      <c r="A7" s="1062" t="s">
        <v>314</v>
      </c>
      <c r="B7" s="969" t="s">
        <v>278</v>
      </c>
      <c r="C7" s="1057"/>
      <c r="D7" s="1057"/>
      <c r="E7" s="1057"/>
      <c r="F7" s="1057"/>
      <c r="G7" s="1057"/>
      <c r="H7" s="1057"/>
      <c r="I7" s="1057"/>
      <c r="J7" s="1057"/>
      <c r="K7" s="1057"/>
      <c r="L7" s="1057"/>
      <c r="M7" s="1057"/>
      <c r="N7" s="1070" t="s">
        <v>597</v>
      </c>
      <c r="O7" s="1067" t="s">
        <v>565</v>
      </c>
    </row>
    <row r="8" spans="1:18" ht="47.25" customHeight="1">
      <c r="A8" s="1063"/>
      <c r="B8" s="577">
        <v>-20</v>
      </c>
      <c r="C8" s="577" t="s">
        <v>10</v>
      </c>
      <c r="D8" s="577" t="s">
        <v>11</v>
      </c>
      <c r="E8" s="577" t="s">
        <v>12</v>
      </c>
      <c r="F8" s="577" t="s">
        <v>13</v>
      </c>
      <c r="G8" s="577" t="s">
        <v>14</v>
      </c>
      <c r="H8" s="577" t="s">
        <v>15</v>
      </c>
      <c r="I8" s="577" t="s">
        <v>16</v>
      </c>
      <c r="J8" s="577" t="s">
        <v>17</v>
      </c>
      <c r="K8" s="577" t="s">
        <v>18</v>
      </c>
      <c r="L8" s="586" t="s">
        <v>8</v>
      </c>
      <c r="M8" s="583" t="s">
        <v>256</v>
      </c>
      <c r="N8" s="1071"/>
      <c r="O8" s="1068"/>
    </row>
    <row r="9" spans="1:18" ht="18" customHeight="1" thickBot="1">
      <c r="A9" s="310" t="s">
        <v>753</v>
      </c>
      <c r="B9" s="490">
        <v>0</v>
      </c>
      <c r="C9" s="491">
        <v>0</v>
      </c>
      <c r="D9" s="491">
        <v>0</v>
      </c>
      <c r="E9" s="491">
        <v>0</v>
      </c>
      <c r="F9" s="491">
        <v>0</v>
      </c>
      <c r="G9" s="491">
        <v>0</v>
      </c>
      <c r="H9" s="491">
        <v>0</v>
      </c>
      <c r="I9" s="491">
        <v>0</v>
      </c>
      <c r="J9" s="491">
        <v>0</v>
      </c>
      <c r="K9" s="491">
        <v>0</v>
      </c>
      <c r="L9" s="491">
        <v>0</v>
      </c>
      <c r="M9" s="1094">
        <f>SUM(B9:L9)</f>
        <v>0</v>
      </c>
      <c r="N9" s="478">
        <f>M9/$M$23%</f>
        <v>0</v>
      </c>
      <c r="O9" s="487">
        <v>-20</v>
      </c>
    </row>
    <row r="10" spans="1:18" ht="18" customHeight="1" thickBot="1">
      <c r="A10" s="225" t="s">
        <v>10</v>
      </c>
      <c r="B10" s="132">
        <v>0</v>
      </c>
      <c r="C10" s="492">
        <v>0</v>
      </c>
      <c r="D10" s="492">
        <v>0</v>
      </c>
      <c r="E10" s="492">
        <v>0</v>
      </c>
      <c r="F10" s="492">
        <v>0</v>
      </c>
      <c r="G10" s="492">
        <v>0</v>
      </c>
      <c r="H10" s="492">
        <v>0</v>
      </c>
      <c r="I10" s="492">
        <v>0</v>
      </c>
      <c r="J10" s="492">
        <v>0</v>
      </c>
      <c r="K10" s="492">
        <v>0</v>
      </c>
      <c r="L10" s="492">
        <v>0</v>
      </c>
      <c r="M10" s="1095">
        <f t="shared" ref="M10:M22" si="0">SUM(B10:L10)</f>
        <v>0</v>
      </c>
      <c r="N10" s="12">
        <f t="shared" ref="N10:N22" si="1">M10/$M$23%</f>
        <v>0</v>
      </c>
      <c r="O10" s="13" t="s">
        <v>10</v>
      </c>
    </row>
    <row r="11" spans="1:18" ht="18" customHeight="1" thickBot="1">
      <c r="A11" s="209" t="s">
        <v>11</v>
      </c>
      <c r="B11" s="308">
        <v>0</v>
      </c>
      <c r="C11" s="493">
        <v>0</v>
      </c>
      <c r="D11" s="493">
        <v>1</v>
      </c>
      <c r="E11" s="493">
        <v>0</v>
      </c>
      <c r="F11" s="493">
        <v>0</v>
      </c>
      <c r="G11" s="493">
        <v>0</v>
      </c>
      <c r="H11" s="493">
        <v>0</v>
      </c>
      <c r="I11" s="493">
        <v>0</v>
      </c>
      <c r="J11" s="493">
        <v>0</v>
      </c>
      <c r="K11" s="493">
        <v>0</v>
      </c>
      <c r="L11" s="493">
        <v>0</v>
      </c>
      <c r="M11" s="1096">
        <f t="shared" si="0"/>
        <v>1</v>
      </c>
      <c r="N11" s="479">
        <f t="shared" si="1"/>
        <v>0.41493775933609955</v>
      </c>
      <c r="O11" s="210" t="s">
        <v>11</v>
      </c>
    </row>
    <row r="12" spans="1:18" ht="18" customHeight="1" thickBot="1">
      <c r="A12" s="225" t="s">
        <v>12</v>
      </c>
      <c r="B12" s="132">
        <v>0</v>
      </c>
      <c r="C12" s="492">
        <v>0</v>
      </c>
      <c r="D12" s="492">
        <v>4</v>
      </c>
      <c r="E12" s="492">
        <v>0</v>
      </c>
      <c r="F12" s="492">
        <v>6</v>
      </c>
      <c r="G12" s="492">
        <v>1</v>
      </c>
      <c r="H12" s="492">
        <v>0</v>
      </c>
      <c r="I12" s="492">
        <v>0</v>
      </c>
      <c r="J12" s="492">
        <v>0</v>
      </c>
      <c r="K12" s="492">
        <v>0</v>
      </c>
      <c r="L12" s="492">
        <v>0</v>
      </c>
      <c r="M12" s="1095">
        <f t="shared" si="0"/>
        <v>11</v>
      </c>
      <c r="N12" s="12">
        <f t="shared" si="1"/>
        <v>4.5643153526970952</v>
      </c>
      <c r="O12" s="13" t="s">
        <v>12</v>
      </c>
    </row>
    <row r="13" spans="1:18" ht="18" customHeight="1" thickBot="1">
      <c r="A13" s="209" t="s">
        <v>13</v>
      </c>
      <c r="B13" s="308">
        <v>0</v>
      </c>
      <c r="C13" s="493">
        <v>0</v>
      </c>
      <c r="D13" s="493">
        <v>7</v>
      </c>
      <c r="E13" s="493">
        <v>6</v>
      </c>
      <c r="F13" s="493">
        <v>1</v>
      </c>
      <c r="G13" s="493">
        <v>5</v>
      </c>
      <c r="H13" s="493">
        <v>0</v>
      </c>
      <c r="I13" s="493">
        <v>0</v>
      </c>
      <c r="J13" s="493">
        <v>0</v>
      </c>
      <c r="K13" s="493">
        <v>0</v>
      </c>
      <c r="L13" s="493">
        <v>0</v>
      </c>
      <c r="M13" s="1096">
        <f t="shared" si="0"/>
        <v>19</v>
      </c>
      <c r="N13" s="479">
        <f t="shared" si="1"/>
        <v>7.8838174273858916</v>
      </c>
      <c r="O13" s="210" t="s">
        <v>13</v>
      </c>
    </row>
    <row r="14" spans="1:18" ht="18" customHeight="1" thickBot="1">
      <c r="A14" s="225" t="s">
        <v>14</v>
      </c>
      <c r="B14" s="132">
        <v>0</v>
      </c>
      <c r="C14" s="492">
        <v>0</v>
      </c>
      <c r="D14" s="492">
        <v>2</v>
      </c>
      <c r="E14" s="492">
        <v>10</v>
      </c>
      <c r="F14" s="492">
        <v>6</v>
      </c>
      <c r="G14" s="492">
        <v>2</v>
      </c>
      <c r="H14" s="492">
        <v>14</v>
      </c>
      <c r="I14" s="492">
        <v>0</v>
      </c>
      <c r="J14" s="492">
        <v>0</v>
      </c>
      <c r="K14" s="492">
        <v>0</v>
      </c>
      <c r="L14" s="492">
        <v>0</v>
      </c>
      <c r="M14" s="1095">
        <f t="shared" si="0"/>
        <v>34</v>
      </c>
      <c r="N14" s="12">
        <f t="shared" si="1"/>
        <v>14.107883817427386</v>
      </c>
      <c r="O14" s="13" t="s">
        <v>14</v>
      </c>
    </row>
    <row r="15" spans="1:18" ht="18" customHeight="1" thickBot="1">
      <c r="A15" s="209" t="s">
        <v>15</v>
      </c>
      <c r="B15" s="308">
        <v>0</v>
      </c>
      <c r="C15" s="493">
        <v>2</v>
      </c>
      <c r="D15" s="493">
        <v>10</v>
      </c>
      <c r="E15" s="493">
        <v>19</v>
      </c>
      <c r="F15" s="493">
        <v>20</v>
      </c>
      <c r="G15" s="493">
        <v>10</v>
      </c>
      <c r="H15" s="493">
        <v>0</v>
      </c>
      <c r="I15" s="493">
        <v>0</v>
      </c>
      <c r="J15" s="493">
        <v>0</v>
      </c>
      <c r="K15" s="493">
        <v>0</v>
      </c>
      <c r="L15" s="493">
        <v>0</v>
      </c>
      <c r="M15" s="1096">
        <f t="shared" si="0"/>
        <v>61</v>
      </c>
      <c r="N15" s="479">
        <f t="shared" si="1"/>
        <v>25.311203319502074</v>
      </c>
      <c r="O15" s="210" t="s">
        <v>15</v>
      </c>
    </row>
    <row r="16" spans="1:18" ht="18" customHeight="1" thickBot="1">
      <c r="A16" s="225" t="s">
        <v>16</v>
      </c>
      <c r="B16" s="132">
        <v>0</v>
      </c>
      <c r="C16" s="492">
        <v>0</v>
      </c>
      <c r="D16" s="492">
        <v>8</v>
      </c>
      <c r="E16" s="492">
        <v>2</v>
      </c>
      <c r="F16" s="492">
        <v>9</v>
      </c>
      <c r="G16" s="492">
        <v>11</v>
      </c>
      <c r="H16" s="492">
        <v>0</v>
      </c>
      <c r="I16" s="492">
        <v>9</v>
      </c>
      <c r="J16" s="492">
        <v>7</v>
      </c>
      <c r="K16" s="492">
        <v>0</v>
      </c>
      <c r="L16" s="492">
        <v>0</v>
      </c>
      <c r="M16" s="1095">
        <f t="shared" si="0"/>
        <v>46</v>
      </c>
      <c r="N16" s="12">
        <f t="shared" si="1"/>
        <v>19.087136929460581</v>
      </c>
      <c r="O16" s="13" t="s">
        <v>16</v>
      </c>
    </row>
    <row r="17" spans="1:15" ht="18" customHeight="1" thickBot="1">
      <c r="A17" s="209" t="s">
        <v>17</v>
      </c>
      <c r="B17" s="308">
        <v>0</v>
      </c>
      <c r="C17" s="493">
        <v>0</v>
      </c>
      <c r="D17" s="493">
        <v>0</v>
      </c>
      <c r="E17" s="493">
        <v>0</v>
      </c>
      <c r="F17" s="493">
        <v>0</v>
      </c>
      <c r="G17" s="493">
        <v>0</v>
      </c>
      <c r="H17" s="493">
        <v>4</v>
      </c>
      <c r="I17" s="493">
        <v>12</v>
      </c>
      <c r="J17" s="493">
        <v>0</v>
      </c>
      <c r="K17" s="493">
        <v>0</v>
      </c>
      <c r="L17" s="493">
        <v>0</v>
      </c>
      <c r="M17" s="1096">
        <f t="shared" si="0"/>
        <v>16</v>
      </c>
      <c r="N17" s="479">
        <f t="shared" si="1"/>
        <v>6.6390041493775929</v>
      </c>
      <c r="O17" s="210" t="s">
        <v>17</v>
      </c>
    </row>
    <row r="18" spans="1:15" ht="18" customHeight="1" thickBot="1">
      <c r="A18" s="225" t="s">
        <v>287</v>
      </c>
      <c r="B18" s="132">
        <v>0</v>
      </c>
      <c r="C18" s="492">
        <v>0</v>
      </c>
      <c r="D18" s="492">
        <v>0</v>
      </c>
      <c r="E18" s="492">
        <v>0</v>
      </c>
      <c r="F18" s="492">
        <v>13</v>
      </c>
      <c r="G18" s="492">
        <v>18</v>
      </c>
      <c r="H18" s="492">
        <v>0</v>
      </c>
      <c r="I18" s="492">
        <v>0</v>
      </c>
      <c r="J18" s="492">
        <v>0</v>
      </c>
      <c r="K18" s="492">
        <v>0</v>
      </c>
      <c r="L18" s="492">
        <v>0</v>
      </c>
      <c r="M18" s="1095">
        <f t="shared" si="0"/>
        <v>31</v>
      </c>
      <c r="N18" s="12">
        <f t="shared" si="1"/>
        <v>12.863070539419086</v>
      </c>
      <c r="O18" s="13" t="s">
        <v>287</v>
      </c>
    </row>
    <row r="19" spans="1:15" ht="18" customHeight="1" thickBot="1">
      <c r="A19" s="209" t="s">
        <v>286</v>
      </c>
      <c r="B19" s="308">
        <v>0</v>
      </c>
      <c r="C19" s="493">
        <v>0</v>
      </c>
      <c r="D19" s="493">
        <v>6</v>
      </c>
      <c r="E19" s="493">
        <v>6</v>
      </c>
      <c r="F19" s="493">
        <v>0</v>
      </c>
      <c r="G19" s="493">
        <v>0</v>
      </c>
      <c r="H19" s="493">
        <v>10</v>
      </c>
      <c r="I19" s="493">
        <v>0</v>
      </c>
      <c r="J19" s="493">
        <v>0</v>
      </c>
      <c r="K19" s="493">
        <v>0</v>
      </c>
      <c r="L19" s="493">
        <v>0</v>
      </c>
      <c r="M19" s="1096">
        <f t="shared" si="0"/>
        <v>22</v>
      </c>
      <c r="N19" s="479">
        <f t="shared" si="1"/>
        <v>9.1286307053941904</v>
      </c>
      <c r="O19" s="210" t="s">
        <v>286</v>
      </c>
    </row>
    <row r="20" spans="1:15" ht="18" customHeight="1" thickBot="1">
      <c r="A20" s="225" t="s">
        <v>285</v>
      </c>
      <c r="B20" s="132">
        <v>0</v>
      </c>
      <c r="C20" s="492">
        <v>0</v>
      </c>
      <c r="D20" s="492">
        <v>0</v>
      </c>
      <c r="E20" s="492">
        <v>0</v>
      </c>
      <c r="F20" s="492">
        <v>0</v>
      </c>
      <c r="G20" s="492">
        <v>0</v>
      </c>
      <c r="H20" s="492">
        <v>0</v>
      </c>
      <c r="I20" s="492">
        <v>0</v>
      </c>
      <c r="J20" s="492">
        <v>0</v>
      </c>
      <c r="K20" s="492">
        <v>0</v>
      </c>
      <c r="L20" s="492">
        <v>0</v>
      </c>
      <c r="M20" s="1095">
        <f t="shared" si="0"/>
        <v>0</v>
      </c>
      <c r="N20" s="12">
        <f t="shared" si="1"/>
        <v>0</v>
      </c>
      <c r="O20" s="13" t="s">
        <v>285</v>
      </c>
    </row>
    <row r="21" spans="1:15" ht="18" customHeight="1" thickBot="1">
      <c r="A21" s="209" t="s">
        <v>284</v>
      </c>
      <c r="B21" s="308">
        <v>0</v>
      </c>
      <c r="C21" s="493">
        <v>0</v>
      </c>
      <c r="D21" s="493">
        <v>0</v>
      </c>
      <c r="E21" s="493">
        <v>0</v>
      </c>
      <c r="F21" s="493">
        <v>0</v>
      </c>
      <c r="G21" s="493">
        <v>0</v>
      </c>
      <c r="H21" s="493">
        <v>0</v>
      </c>
      <c r="I21" s="493">
        <v>0</v>
      </c>
      <c r="J21" s="493">
        <v>0</v>
      </c>
      <c r="K21" s="493">
        <v>0</v>
      </c>
      <c r="L21" s="493">
        <v>0</v>
      </c>
      <c r="M21" s="1096">
        <f t="shared" si="0"/>
        <v>0</v>
      </c>
      <c r="N21" s="479">
        <f t="shared" si="1"/>
        <v>0</v>
      </c>
      <c r="O21" s="210" t="s">
        <v>284</v>
      </c>
    </row>
    <row r="22" spans="1:15" ht="18" customHeight="1">
      <c r="A22" s="226" t="s">
        <v>19</v>
      </c>
      <c r="B22" s="130">
        <v>0</v>
      </c>
      <c r="C22" s="494">
        <v>0</v>
      </c>
      <c r="D22" s="494">
        <v>0</v>
      </c>
      <c r="E22" s="494">
        <v>0</v>
      </c>
      <c r="F22" s="494">
        <v>0</v>
      </c>
      <c r="G22" s="494">
        <v>0</v>
      </c>
      <c r="H22" s="494">
        <v>0</v>
      </c>
      <c r="I22" s="494">
        <v>0</v>
      </c>
      <c r="J22" s="494">
        <v>0</v>
      </c>
      <c r="K22" s="494">
        <v>0</v>
      </c>
      <c r="L22" s="494">
        <v>0</v>
      </c>
      <c r="M22" s="1097">
        <f t="shared" si="0"/>
        <v>0</v>
      </c>
      <c r="N22" s="129">
        <f t="shared" si="1"/>
        <v>0</v>
      </c>
      <c r="O22" s="128" t="s">
        <v>20</v>
      </c>
    </row>
    <row r="23" spans="1:15" ht="18" customHeight="1" thickBot="1">
      <c r="A23" s="475" t="s">
        <v>21</v>
      </c>
      <c r="B23" s="489">
        <f t="shared" ref="B23:M23" si="2">SUM(B9:B22)</f>
        <v>0</v>
      </c>
      <c r="C23" s="489">
        <f t="shared" si="2"/>
        <v>2</v>
      </c>
      <c r="D23" s="489">
        <f t="shared" si="2"/>
        <v>38</v>
      </c>
      <c r="E23" s="489">
        <f t="shared" si="2"/>
        <v>43</v>
      </c>
      <c r="F23" s="489">
        <f t="shared" si="2"/>
        <v>55</v>
      </c>
      <c r="G23" s="489">
        <f t="shared" si="2"/>
        <v>47</v>
      </c>
      <c r="H23" s="489">
        <f t="shared" si="2"/>
        <v>28</v>
      </c>
      <c r="I23" s="489">
        <f t="shared" si="2"/>
        <v>21</v>
      </c>
      <c r="J23" s="489">
        <f t="shared" si="2"/>
        <v>7</v>
      </c>
      <c r="K23" s="489">
        <f t="shared" si="2"/>
        <v>0</v>
      </c>
      <c r="L23" s="489">
        <f t="shared" si="2"/>
        <v>0</v>
      </c>
      <c r="M23" s="489">
        <f t="shared" si="2"/>
        <v>241</v>
      </c>
      <c r="N23" s="488">
        <f t="shared" ref="N23" si="3">SUM(N9:N22)</f>
        <v>100</v>
      </c>
      <c r="O23" s="477" t="s">
        <v>176</v>
      </c>
    </row>
    <row r="24" spans="1:15" ht="18" customHeight="1">
      <c r="A24" s="309" t="s">
        <v>596</v>
      </c>
      <c r="B24" s="472">
        <f t="shared" ref="B24:L24" si="4">B23/$M$23%</f>
        <v>0</v>
      </c>
      <c r="C24" s="472">
        <f t="shared" si="4"/>
        <v>0.82987551867219911</v>
      </c>
      <c r="D24" s="472">
        <f t="shared" si="4"/>
        <v>15.767634854771783</v>
      </c>
      <c r="E24" s="472">
        <f t="shared" si="4"/>
        <v>17.842323651452283</v>
      </c>
      <c r="F24" s="472">
        <f t="shared" si="4"/>
        <v>22.821576763485474</v>
      </c>
      <c r="G24" s="472">
        <f>G23/$M$23%</f>
        <v>19.502074688796679</v>
      </c>
      <c r="H24" s="472">
        <f t="shared" si="4"/>
        <v>11.618257261410788</v>
      </c>
      <c r="I24" s="472">
        <f t="shared" si="4"/>
        <v>8.7136929460580905</v>
      </c>
      <c r="J24" s="472">
        <f t="shared" si="4"/>
        <v>2.904564315352697</v>
      </c>
      <c r="K24" s="472">
        <f t="shared" si="4"/>
        <v>0</v>
      </c>
      <c r="L24" s="472">
        <f t="shared" si="4"/>
        <v>0</v>
      </c>
      <c r="M24" s="472">
        <f>SUM(B24:L24)</f>
        <v>100</v>
      </c>
      <c r="N24" s="473"/>
      <c r="O24" s="474" t="s">
        <v>24</v>
      </c>
    </row>
    <row r="25" spans="1:15">
      <c r="A25" s="159" t="s">
        <v>988</v>
      </c>
      <c r="O25" s="1" t="s">
        <v>989</v>
      </c>
    </row>
    <row r="31" spans="1:15" ht="192" thickBot="1">
      <c r="B31" s="74" t="s">
        <v>1013</v>
      </c>
      <c r="C31" s="74" t="s">
        <v>1012</v>
      </c>
      <c r="D31" s="74"/>
    </row>
    <row r="32" spans="1:15" ht="15.75" thickBot="1">
      <c r="A32" s="157">
        <v>-20</v>
      </c>
      <c r="B32" s="1">
        <f>B23</f>
        <v>0</v>
      </c>
      <c r="C32" s="1">
        <f>M9</f>
        <v>0</v>
      </c>
    </row>
    <row r="33" spans="1:3" ht="15.75" thickBot="1">
      <c r="A33" s="157" t="s">
        <v>10</v>
      </c>
      <c r="B33" s="1">
        <f>C23</f>
        <v>2</v>
      </c>
      <c r="C33" s="1">
        <f t="shared" ref="C33:C40" si="5">M10</f>
        <v>0</v>
      </c>
    </row>
    <row r="34" spans="1:3" ht="15.75" thickBot="1">
      <c r="A34" s="157" t="s">
        <v>11</v>
      </c>
      <c r="B34" s="1">
        <f>D23</f>
        <v>38</v>
      </c>
      <c r="C34" s="1">
        <f t="shared" si="5"/>
        <v>1</v>
      </c>
    </row>
    <row r="35" spans="1:3" ht="15.75" thickBot="1">
      <c r="A35" s="157" t="s">
        <v>12</v>
      </c>
      <c r="B35" s="1">
        <f>E23</f>
        <v>43</v>
      </c>
      <c r="C35" s="1">
        <f t="shared" si="5"/>
        <v>11</v>
      </c>
    </row>
    <row r="36" spans="1:3" ht="15.75" thickBot="1">
      <c r="A36" s="157" t="s">
        <v>13</v>
      </c>
      <c r="B36" s="1">
        <f>F23</f>
        <v>55</v>
      </c>
      <c r="C36" s="1">
        <f t="shared" si="5"/>
        <v>19</v>
      </c>
    </row>
    <row r="37" spans="1:3" ht="15.75" thickBot="1">
      <c r="A37" s="157" t="s">
        <v>14</v>
      </c>
      <c r="B37" s="1">
        <f>G23</f>
        <v>47</v>
      </c>
      <c r="C37" s="1">
        <f t="shared" si="5"/>
        <v>34</v>
      </c>
    </row>
    <row r="38" spans="1:3" ht="15.75" thickBot="1">
      <c r="A38" s="157" t="s">
        <v>15</v>
      </c>
      <c r="B38" s="1">
        <f>H23</f>
        <v>28</v>
      </c>
      <c r="C38" s="1">
        <f t="shared" si="5"/>
        <v>61</v>
      </c>
    </row>
    <row r="39" spans="1:3" ht="15.75" thickBot="1">
      <c r="A39" s="157" t="s">
        <v>16</v>
      </c>
      <c r="B39" s="1">
        <f>I23</f>
        <v>21</v>
      </c>
      <c r="C39" s="1">
        <f t="shared" si="5"/>
        <v>46</v>
      </c>
    </row>
    <row r="40" spans="1:3" ht="15.75" thickBot="1">
      <c r="A40" s="157" t="s">
        <v>17</v>
      </c>
      <c r="B40" s="1">
        <f>J23</f>
        <v>7</v>
      </c>
      <c r="C40" s="1">
        <f t="shared" si="5"/>
        <v>16</v>
      </c>
    </row>
    <row r="41" spans="1:3" ht="15.75" thickBot="1">
      <c r="A41" s="157" t="s">
        <v>18</v>
      </c>
      <c r="B41" s="1">
        <f>K23</f>
        <v>0</v>
      </c>
      <c r="C41" s="1">
        <f>SUM(M18:M21)</f>
        <v>53</v>
      </c>
    </row>
    <row r="42" spans="1:3" ht="30.75" thickBot="1">
      <c r="A42" s="157" t="s">
        <v>779</v>
      </c>
      <c r="B42" s="484">
        <f>L23</f>
        <v>0</v>
      </c>
      <c r="C42" s="1">
        <f>M22</f>
        <v>0</v>
      </c>
    </row>
    <row r="43" spans="1:3">
      <c r="B43" s="1">
        <f>SUM(B32:B42)</f>
        <v>241</v>
      </c>
      <c r="C43" s="1">
        <f>SUM(C32:C42)</f>
        <v>241</v>
      </c>
    </row>
  </sheetData>
  <mergeCells count="8">
    <mergeCell ref="A7:A8"/>
    <mergeCell ref="B7:M7"/>
    <mergeCell ref="O7:O8"/>
    <mergeCell ref="N7:N8"/>
    <mergeCell ref="A1:O1"/>
    <mergeCell ref="A2:O2"/>
    <mergeCell ref="A3:O3"/>
    <mergeCell ref="A4:O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N37"/>
  <sheetViews>
    <sheetView rightToLeft="1" view="pageBreakPreview" zoomScaleNormal="100" zoomScaleSheetLayoutView="100" workbookViewId="0">
      <selection activeCell="S20" sqref="S20"/>
    </sheetView>
  </sheetViews>
  <sheetFormatPr defaultColWidth="9.140625" defaultRowHeight="12.75"/>
  <cols>
    <col min="1" max="16384" width="9.140625" style="1"/>
  </cols>
  <sheetData>
    <row r="37" spans="1:14" ht="15.75">
      <c r="A37" s="945" t="s">
        <v>935</v>
      </c>
      <c r="B37" s="945"/>
      <c r="C37" s="945"/>
      <c r="D37" s="945"/>
      <c r="E37" s="945"/>
      <c r="F37" s="945"/>
      <c r="G37" s="945"/>
      <c r="H37" s="945"/>
      <c r="I37" s="945"/>
      <c r="J37" s="945"/>
      <c r="K37" s="945"/>
      <c r="L37" s="945"/>
      <c r="M37" s="945"/>
      <c r="N37" s="945"/>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rightToLeft="1" view="pageBreakPreview" zoomScaleNormal="75" workbookViewId="0">
      <selection activeCell="P9" sqref="P9"/>
    </sheetView>
  </sheetViews>
  <sheetFormatPr defaultColWidth="9.140625" defaultRowHeight="12.75"/>
  <cols>
    <col min="1" max="1" width="19.85546875" style="1" customWidth="1"/>
    <col min="2" max="10" width="8.7109375" style="1" customWidth="1"/>
    <col min="11" max="11" width="11.85546875" style="1" customWidth="1"/>
    <col min="12" max="12" width="24.7109375" style="1" customWidth="1"/>
    <col min="13" max="16384" width="9.140625" style="1"/>
  </cols>
  <sheetData>
    <row r="1" spans="1:12" s="2" customFormat="1" ht="24" customHeight="1">
      <c r="A1" s="934" t="s">
        <v>0</v>
      </c>
      <c r="B1" s="934"/>
      <c r="C1" s="994"/>
      <c r="D1" s="934"/>
      <c r="E1" s="934"/>
      <c r="F1" s="934"/>
      <c r="G1" s="934"/>
      <c r="H1" s="934"/>
      <c r="I1" s="934"/>
      <c r="J1" s="934"/>
      <c r="K1" s="934"/>
      <c r="L1" s="934"/>
    </row>
    <row r="2" spans="1:12" s="3" customFormat="1" ht="18" customHeight="1">
      <c r="A2" s="958" t="s">
        <v>933</v>
      </c>
      <c r="B2" s="958"/>
      <c r="C2" s="958"/>
      <c r="D2" s="958"/>
      <c r="E2" s="958"/>
      <c r="F2" s="958"/>
      <c r="G2" s="958"/>
      <c r="H2" s="958"/>
      <c r="I2" s="958"/>
      <c r="J2" s="958"/>
      <c r="K2" s="958"/>
      <c r="L2" s="958"/>
    </row>
    <row r="3" spans="1:12" s="2" customFormat="1" ht="15.75">
      <c r="A3" s="959">
        <v>2015</v>
      </c>
      <c r="B3" s="959"/>
      <c r="C3" s="959"/>
      <c r="D3" s="959"/>
      <c r="E3" s="959"/>
      <c r="F3" s="959"/>
      <c r="G3" s="959"/>
      <c r="H3" s="959"/>
      <c r="I3" s="959"/>
      <c r="J3" s="959"/>
      <c r="K3" s="959"/>
      <c r="L3" s="959"/>
    </row>
    <row r="4" spans="1:12" s="2" customFormat="1" ht="15.75">
      <c r="A4" s="959" t="s">
        <v>330</v>
      </c>
      <c r="B4" s="959"/>
      <c r="C4" s="959"/>
      <c r="D4" s="959"/>
      <c r="E4" s="959"/>
      <c r="F4" s="959"/>
      <c r="G4" s="959"/>
      <c r="H4" s="959"/>
      <c r="I4" s="959"/>
      <c r="J4" s="959"/>
      <c r="K4" s="959"/>
      <c r="L4" s="959"/>
    </row>
    <row r="5" spans="1:12" s="2" customFormat="1" ht="15.75">
      <c r="A5" s="635"/>
      <c r="B5" s="635"/>
      <c r="C5" s="635"/>
      <c r="D5" s="635"/>
      <c r="E5" s="635"/>
      <c r="F5" s="635"/>
      <c r="G5" s="635"/>
      <c r="H5" s="635"/>
      <c r="I5" s="635"/>
      <c r="J5" s="635"/>
      <c r="K5" s="635"/>
      <c r="L5" s="635"/>
    </row>
    <row r="6" spans="1:12" ht="15.75">
      <c r="A6" s="648" t="s">
        <v>822</v>
      </c>
      <c r="B6" s="652"/>
      <c r="C6" s="652"/>
      <c r="D6" s="652"/>
      <c r="E6" s="652"/>
      <c r="F6" s="652"/>
      <c r="G6" s="652"/>
      <c r="H6" s="652"/>
      <c r="I6" s="652"/>
      <c r="J6" s="652"/>
      <c r="K6" s="652"/>
      <c r="L6" s="650" t="s">
        <v>823</v>
      </c>
    </row>
    <row r="7" spans="1:12" ht="30.75" customHeight="1" thickBot="1">
      <c r="A7" s="985" t="s">
        <v>4</v>
      </c>
      <c r="B7" s="1020" t="s">
        <v>939</v>
      </c>
      <c r="C7" s="1020"/>
      <c r="D7" s="1020"/>
      <c r="E7" s="1020"/>
      <c r="F7" s="1020"/>
      <c r="G7" s="1020"/>
      <c r="H7" s="1020"/>
      <c r="I7" s="1020"/>
      <c r="J7" s="1020"/>
      <c r="K7" s="1000" t="s">
        <v>5</v>
      </c>
      <c r="L7" s="997" t="s">
        <v>6</v>
      </c>
    </row>
    <row r="8" spans="1:12" ht="39" customHeight="1">
      <c r="A8" s="992"/>
      <c r="B8" s="577">
        <v>0</v>
      </c>
      <c r="C8" s="577">
        <v>1</v>
      </c>
      <c r="D8" s="577">
        <v>2</v>
      </c>
      <c r="E8" s="577">
        <v>3</v>
      </c>
      <c r="F8" s="577">
        <v>4</v>
      </c>
      <c r="G8" s="577">
        <v>5</v>
      </c>
      <c r="H8" s="577" t="s">
        <v>7</v>
      </c>
      <c r="I8" s="586" t="s">
        <v>8</v>
      </c>
      <c r="J8" s="583" t="s">
        <v>9</v>
      </c>
      <c r="K8" s="1001"/>
      <c r="L8" s="998"/>
    </row>
    <row r="9" spans="1:12" ht="17.25" customHeight="1" thickBot="1">
      <c r="A9" s="7">
        <v>-20</v>
      </c>
      <c r="B9" s="468">
        <v>31</v>
      </c>
      <c r="C9" s="152">
        <v>0</v>
      </c>
      <c r="D9" s="152">
        <v>0</v>
      </c>
      <c r="E9" s="152">
        <v>0</v>
      </c>
      <c r="F9" s="152">
        <v>0</v>
      </c>
      <c r="G9" s="152">
        <v>0</v>
      </c>
      <c r="H9" s="152">
        <v>0</v>
      </c>
      <c r="I9" s="152">
        <v>0</v>
      </c>
      <c r="J9" s="211">
        <f>SUM(B9:I9)</f>
        <v>31</v>
      </c>
      <c r="K9" s="9">
        <f t="shared" ref="K9" si="0">J9/$J$20%</f>
        <v>4.3909348441926346</v>
      </c>
      <c r="L9" s="10">
        <v>-20</v>
      </c>
    </row>
    <row r="10" spans="1:12" ht="17.25" customHeight="1" thickBot="1">
      <c r="A10" s="11" t="s">
        <v>10</v>
      </c>
      <c r="B10" s="468">
        <v>182</v>
      </c>
      <c r="C10" s="152">
        <v>0</v>
      </c>
      <c r="D10" s="152">
        <v>0</v>
      </c>
      <c r="E10" s="152">
        <v>0</v>
      </c>
      <c r="F10" s="152">
        <v>0</v>
      </c>
      <c r="G10" s="152">
        <v>0</v>
      </c>
      <c r="H10" s="152">
        <v>0</v>
      </c>
      <c r="I10" s="152">
        <v>0</v>
      </c>
      <c r="J10" s="211">
        <f t="shared" ref="J10:J19" si="1">SUM(B10:I10)</f>
        <v>182</v>
      </c>
      <c r="K10" s="12">
        <f t="shared" ref="K10:K19" si="2">J10/$J$20%</f>
        <v>25.779036827195469</v>
      </c>
      <c r="L10" s="13" t="s">
        <v>10</v>
      </c>
    </row>
    <row r="11" spans="1:12" ht="17.25" customHeight="1" thickBot="1">
      <c r="A11" s="14" t="s">
        <v>11</v>
      </c>
      <c r="B11" s="468">
        <v>178</v>
      </c>
      <c r="C11" s="152">
        <v>2</v>
      </c>
      <c r="D11" s="152">
        <v>0</v>
      </c>
      <c r="E11" s="152">
        <v>0</v>
      </c>
      <c r="F11" s="152">
        <v>0</v>
      </c>
      <c r="G11" s="152">
        <v>0</v>
      </c>
      <c r="H11" s="152">
        <v>0</v>
      </c>
      <c r="I11" s="152">
        <v>0</v>
      </c>
      <c r="J11" s="211">
        <f t="shared" si="1"/>
        <v>180</v>
      </c>
      <c r="K11" s="15">
        <f t="shared" si="2"/>
        <v>25.495750708215297</v>
      </c>
      <c r="L11" s="16" t="s">
        <v>11</v>
      </c>
    </row>
    <row r="12" spans="1:12" ht="17.25" customHeight="1" thickBot="1">
      <c r="A12" s="11" t="s">
        <v>12</v>
      </c>
      <c r="B12" s="468">
        <v>101</v>
      </c>
      <c r="C12" s="152">
        <v>2</v>
      </c>
      <c r="D12" s="152">
        <v>0</v>
      </c>
      <c r="E12" s="152">
        <v>1</v>
      </c>
      <c r="F12" s="152">
        <v>0</v>
      </c>
      <c r="G12" s="152">
        <v>0</v>
      </c>
      <c r="H12" s="152">
        <v>0</v>
      </c>
      <c r="I12" s="152">
        <v>0</v>
      </c>
      <c r="J12" s="211">
        <f t="shared" si="1"/>
        <v>104</v>
      </c>
      <c r="K12" s="12">
        <f t="shared" si="2"/>
        <v>14.730878186968839</v>
      </c>
      <c r="L12" s="13" t="s">
        <v>12</v>
      </c>
    </row>
    <row r="13" spans="1:12" ht="17.25" customHeight="1" thickBot="1">
      <c r="A13" s="14" t="s">
        <v>13</v>
      </c>
      <c r="B13" s="468">
        <v>70</v>
      </c>
      <c r="C13" s="152">
        <v>0</v>
      </c>
      <c r="D13" s="152">
        <v>0</v>
      </c>
      <c r="E13" s="152">
        <v>2</v>
      </c>
      <c r="F13" s="152">
        <v>1</v>
      </c>
      <c r="G13" s="152">
        <v>0</v>
      </c>
      <c r="H13" s="152">
        <v>1</v>
      </c>
      <c r="I13" s="152">
        <v>0</v>
      </c>
      <c r="J13" s="211">
        <f t="shared" si="1"/>
        <v>74</v>
      </c>
      <c r="K13" s="15">
        <f t="shared" si="2"/>
        <v>10.48158640226629</v>
      </c>
      <c r="L13" s="16" t="s">
        <v>13</v>
      </c>
    </row>
    <row r="14" spans="1:12" ht="17.25" customHeight="1" thickBot="1">
      <c r="A14" s="11" t="s">
        <v>14</v>
      </c>
      <c r="B14" s="468">
        <v>40</v>
      </c>
      <c r="C14" s="152">
        <v>1</v>
      </c>
      <c r="D14" s="152">
        <v>0</v>
      </c>
      <c r="E14" s="152">
        <v>1</v>
      </c>
      <c r="F14" s="152">
        <v>0</v>
      </c>
      <c r="G14" s="152">
        <v>1</v>
      </c>
      <c r="H14" s="152">
        <v>3</v>
      </c>
      <c r="I14" s="152">
        <v>0</v>
      </c>
      <c r="J14" s="211">
        <f t="shared" si="1"/>
        <v>46</v>
      </c>
      <c r="K14" s="12">
        <f t="shared" si="2"/>
        <v>6.5155807365439093</v>
      </c>
      <c r="L14" s="13" t="s">
        <v>14</v>
      </c>
    </row>
    <row r="15" spans="1:12" ht="17.25" customHeight="1" thickBot="1">
      <c r="A15" s="14" t="s">
        <v>15</v>
      </c>
      <c r="B15" s="468">
        <v>36</v>
      </c>
      <c r="C15" s="152">
        <v>1</v>
      </c>
      <c r="D15" s="152">
        <v>0</v>
      </c>
      <c r="E15" s="152">
        <v>0</v>
      </c>
      <c r="F15" s="152">
        <v>2</v>
      </c>
      <c r="G15" s="152">
        <v>1</v>
      </c>
      <c r="H15" s="152">
        <v>1</v>
      </c>
      <c r="I15" s="152">
        <v>0</v>
      </c>
      <c r="J15" s="211">
        <f t="shared" si="1"/>
        <v>41</v>
      </c>
      <c r="K15" s="15">
        <f t="shared" si="2"/>
        <v>5.807365439093485</v>
      </c>
      <c r="L15" s="16" t="s">
        <v>15</v>
      </c>
    </row>
    <row r="16" spans="1:12" ht="17.25" customHeight="1" thickBot="1">
      <c r="A16" s="11" t="s">
        <v>16</v>
      </c>
      <c r="B16" s="468">
        <v>19</v>
      </c>
      <c r="C16" s="152">
        <v>0</v>
      </c>
      <c r="D16" s="152">
        <v>0</v>
      </c>
      <c r="E16" s="152">
        <v>1</v>
      </c>
      <c r="F16" s="152">
        <v>0</v>
      </c>
      <c r="G16" s="152">
        <v>0</v>
      </c>
      <c r="H16" s="152">
        <v>2</v>
      </c>
      <c r="I16" s="152">
        <v>0</v>
      </c>
      <c r="J16" s="211">
        <f t="shared" si="1"/>
        <v>22</v>
      </c>
      <c r="K16" s="12">
        <f t="shared" si="2"/>
        <v>3.1161473087818701</v>
      </c>
      <c r="L16" s="13" t="s">
        <v>16</v>
      </c>
    </row>
    <row r="17" spans="1:12" ht="17.25" customHeight="1" thickBot="1">
      <c r="A17" s="14" t="s">
        <v>17</v>
      </c>
      <c r="B17" s="468">
        <v>19</v>
      </c>
      <c r="C17" s="152">
        <v>0</v>
      </c>
      <c r="D17" s="152">
        <v>0</v>
      </c>
      <c r="E17" s="152">
        <v>0</v>
      </c>
      <c r="F17" s="152">
        <v>0</v>
      </c>
      <c r="G17" s="152">
        <v>0</v>
      </c>
      <c r="H17" s="152">
        <v>1</v>
      </c>
      <c r="I17" s="152">
        <v>0</v>
      </c>
      <c r="J17" s="211">
        <f t="shared" si="1"/>
        <v>20</v>
      </c>
      <c r="K17" s="15">
        <f t="shared" si="2"/>
        <v>2.8328611898017</v>
      </c>
      <c r="L17" s="16" t="s">
        <v>17</v>
      </c>
    </row>
    <row r="18" spans="1:12" ht="17.25" customHeight="1" thickBot="1">
      <c r="A18" s="11" t="s">
        <v>18</v>
      </c>
      <c r="B18" s="468">
        <v>6</v>
      </c>
      <c r="C18" s="152">
        <v>0</v>
      </c>
      <c r="D18" s="152">
        <v>0</v>
      </c>
      <c r="E18" s="152">
        <v>0</v>
      </c>
      <c r="F18" s="152">
        <v>0</v>
      </c>
      <c r="G18" s="152">
        <v>0</v>
      </c>
      <c r="H18" s="152">
        <v>0</v>
      </c>
      <c r="I18" s="152">
        <v>0</v>
      </c>
      <c r="J18" s="211">
        <f t="shared" si="1"/>
        <v>6</v>
      </c>
      <c r="K18" s="12">
        <f t="shared" si="2"/>
        <v>0.84985835694050993</v>
      </c>
      <c r="L18" s="13" t="s">
        <v>18</v>
      </c>
    </row>
    <row r="19" spans="1:12" ht="17.25" customHeight="1" thickBot="1">
      <c r="A19" s="17" t="s">
        <v>19</v>
      </c>
      <c r="B19" s="496">
        <v>0</v>
      </c>
      <c r="C19" s="497">
        <v>0</v>
      </c>
      <c r="D19" s="497">
        <v>0</v>
      </c>
      <c r="E19" s="497">
        <v>0</v>
      </c>
      <c r="F19" s="497">
        <v>0</v>
      </c>
      <c r="G19" s="497">
        <v>0</v>
      </c>
      <c r="H19" s="497">
        <v>0</v>
      </c>
      <c r="I19" s="497">
        <v>0</v>
      </c>
      <c r="J19" s="211">
        <f t="shared" si="1"/>
        <v>0</v>
      </c>
      <c r="K19" s="18">
        <f t="shared" si="2"/>
        <v>0</v>
      </c>
      <c r="L19" s="19" t="s">
        <v>20</v>
      </c>
    </row>
    <row r="20" spans="1:12" ht="17.25" customHeight="1">
      <c r="A20" s="498" t="s">
        <v>21</v>
      </c>
      <c r="B20" s="499">
        <f t="shared" ref="B20:I20" si="3">SUM(B9:B19)</f>
        <v>682</v>
      </c>
      <c r="C20" s="499">
        <f t="shared" si="3"/>
        <v>6</v>
      </c>
      <c r="D20" s="499">
        <f t="shared" si="3"/>
        <v>0</v>
      </c>
      <c r="E20" s="499">
        <f t="shared" si="3"/>
        <v>5</v>
      </c>
      <c r="F20" s="499">
        <f t="shared" si="3"/>
        <v>3</v>
      </c>
      <c r="G20" s="499">
        <f t="shared" si="3"/>
        <v>2</v>
      </c>
      <c r="H20" s="499">
        <f t="shared" si="3"/>
        <v>8</v>
      </c>
      <c r="I20" s="499">
        <f t="shared" si="3"/>
        <v>0</v>
      </c>
      <c r="J20" s="499">
        <f>SUM(J9:J19)</f>
        <v>706</v>
      </c>
      <c r="K20" s="500">
        <f t="shared" ref="K20" si="4">SUM(K9:K19)</f>
        <v>100.00000000000003</v>
      </c>
      <c r="L20" s="504" t="s">
        <v>22</v>
      </c>
    </row>
    <row r="21" spans="1:12" ht="17.25" customHeight="1">
      <c r="A21" s="180" t="s">
        <v>292</v>
      </c>
      <c r="B21" s="501">
        <f>B20/$J$20%</f>
        <v>96.600566572237966</v>
      </c>
      <c r="C21" s="501">
        <f t="shared" ref="C21:I21" si="5">C20/$J$20%</f>
        <v>0.84985835694050993</v>
      </c>
      <c r="D21" s="501">
        <f t="shared" si="5"/>
        <v>0</v>
      </c>
      <c r="E21" s="501">
        <f t="shared" si="5"/>
        <v>0.708215297450425</v>
      </c>
      <c r="F21" s="501">
        <f t="shared" si="5"/>
        <v>0.42492917847025496</v>
      </c>
      <c r="G21" s="501">
        <f t="shared" si="5"/>
        <v>0.28328611898016998</v>
      </c>
      <c r="H21" s="501">
        <f t="shared" si="5"/>
        <v>1.1331444759206799</v>
      </c>
      <c r="I21" s="501">
        <f t="shared" si="5"/>
        <v>0</v>
      </c>
      <c r="J21" s="501">
        <f>SUM(B21:I21)</f>
        <v>100</v>
      </c>
      <c r="K21" s="502"/>
      <c r="L21" s="503" t="s">
        <v>24</v>
      </c>
    </row>
    <row r="22" spans="1:12">
      <c r="A22" s="93" t="s">
        <v>908</v>
      </c>
      <c r="L22" s="1" t="s">
        <v>932</v>
      </c>
    </row>
    <row r="23" spans="1:12">
      <c r="A23" s="93"/>
    </row>
  </sheetData>
  <mergeCells count="8">
    <mergeCell ref="K7:K8"/>
    <mergeCell ref="A1:L1"/>
    <mergeCell ref="A2:L2"/>
    <mergeCell ref="A3:L3"/>
    <mergeCell ref="A7:A8"/>
    <mergeCell ref="B7:J7"/>
    <mergeCell ref="L7:L8"/>
    <mergeCell ref="A4:L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rightToLeft="1" view="pageBreakPreview" zoomScaleNormal="75" workbookViewId="0">
      <selection activeCell="N12" sqref="N12"/>
    </sheetView>
  </sheetViews>
  <sheetFormatPr defaultColWidth="9.140625" defaultRowHeight="12.75"/>
  <cols>
    <col min="1" max="1" width="19.85546875" style="1" customWidth="1"/>
    <col min="2" max="10" width="8.7109375" style="1" customWidth="1"/>
    <col min="11" max="11" width="11.85546875" style="1" customWidth="1"/>
    <col min="12" max="12" width="24.7109375" style="1" customWidth="1"/>
    <col min="13" max="16384" width="9.140625" style="1"/>
  </cols>
  <sheetData>
    <row r="1" spans="1:12" s="2" customFormat="1" ht="24" customHeight="1">
      <c r="A1" s="934" t="s">
        <v>0</v>
      </c>
      <c r="B1" s="934"/>
      <c r="C1" s="994"/>
      <c r="D1" s="934"/>
      <c r="E1" s="934"/>
      <c r="F1" s="934"/>
      <c r="G1" s="934"/>
      <c r="H1" s="934"/>
      <c r="I1" s="934"/>
      <c r="J1" s="934"/>
      <c r="K1" s="934"/>
      <c r="L1" s="934"/>
    </row>
    <row r="2" spans="1:12" s="3" customFormat="1" ht="18" customHeight="1">
      <c r="A2" s="958" t="s">
        <v>933</v>
      </c>
      <c r="B2" s="958"/>
      <c r="C2" s="958"/>
      <c r="D2" s="958"/>
      <c r="E2" s="958"/>
      <c r="F2" s="958"/>
      <c r="G2" s="958"/>
      <c r="H2" s="958"/>
      <c r="I2" s="958"/>
      <c r="J2" s="958"/>
      <c r="K2" s="958"/>
      <c r="L2" s="958"/>
    </row>
    <row r="3" spans="1:12" s="2" customFormat="1" ht="15.75">
      <c r="A3" s="959">
        <v>2015</v>
      </c>
      <c r="B3" s="959"/>
      <c r="C3" s="959"/>
      <c r="D3" s="959"/>
      <c r="E3" s="959"/>
      <c r="F3" s="959"/>
      <c r="G3" s="959"/>
      <c r="H3" s="959"/>
      <c r="I3" s="959"/>
      <c r="J3" s="959"/>
      <c r="K3" s="959"/>
      <c r="L3" s="959"/>
    </row>
    <row r="4" spans="1:12" s="2" customFormat="1" ht="15.75">
      <c r="A4" s="959" t="s">
        <v>335</v>
      </c>
      <c r="B4" s="959"/>
      <c r="C4" s="959"/>
      <c r="D4" s="959"/>
      <c r="E4" s="959"/>
      <c r="F4" s="959"/>
      <c r="G4" s="959"/>
      <c r="H4" s="959"/>
      <c r="I4" s="959"/>
      <c r="J4" s="959"/>
      <c r="K4" s="959"/>
      <c r="L4" s="959"/>
    </row>
    <row r="5" spans="1:12" s="2" customFormat="1" ht="15.75">
      <c r="A5" s="635"/>
      <c r="B5" s="635"/>
      <c r="C5" s="635"/>
      <c r="D5" s="635"/>
      <c r="E5" s="635"/>
      <c r="F5" s="635"/>
      <c r="G5" s="635"/>
      <c r="H5" s="635"/>
      <c r="I5" s="635"/>
      <c r="J5" s="635"/>
      <c r="K5" s="635"/>
      <c r="L5" s="635"/>
    </row>
    <row r="6" spans="1:12" ht="15.75">
      <c r="A6" s="648" t="s">
        <v>826</v>
      </c>
      <c r="B6" s="652"/>
      <c r="C6" s="652"/>
      <c r="D6" s="652"/>
      <c r="E6" s="652"/>
      <c r="F6" s="652"/>
      <c r="G6" s="652"/>
      <c r="H6" s="652"/>
      <c r="I6" s="652"/>
      <c r="J6" s="652"/>
      <c r="K6" s="652"/>
      <c r="L6" s="650" t="s">
        <v>827</v>
      </c>
    </row>
    <row r="7" spans="1:12" ht="30.75" customHeight="1" thickBot="1">
      <c r="A7" s="985" t="s">
        <v>4</v>
      </c>
      <c r="B7" s="1020" t="s">
        <v>939</v>
      </c>
      <c r="C7" s="1020"/>
      <c r="D7" s="1020"/>
      <c r="E7" s="1020"/>
      <c r="F7" s="1020"/>
      <c r="G7" s="1020"/>
      <c r="H7" s="1020"/>
      <c r="I7" s="1020"/>
      <c r="J7" s="1020"/>
      <c r="K7" s="1000" t="s">
        <v>5</v>
      </c>
      <c r="L7" s="997" t="s">
        <v>6</v>
      </c>
    </row>
    <row r="8" spans="1:12" ht="39" customHeight="1">
      <c r="A8" s="986"/>
      <c r="B8" s="577">
        <v>0</v>
      </c>
      <c r="C8" s="577">
        <v>1</v>
      </c>
      <c r="D8" s="577">
        <v>2</v>
      </c>
      <c r="E8" s="577">
        <v>3</v>
      </c>
      <c r="F8" s="577">
        <v>4</v>
      </c>
      <c r="G8" s="577">
        <v>5</v>
      </c>
      <c r="H8" s="577" t="s">
        <v>7</v>
      </c>
      <c r="I8" s="586" t="s">
        <v>8</v>
      </c>
      <c r="J8" s="583" t="s">
        <v>9</v>
      </c>
      <c r="K8" s="1023"/>
      <c r="L8" s="1037"/>
    </row>
    <row r="9" spans="1:12" ht="17.25" customHeight="1" thickBot="1">
      <c r="A9" s="485">
        <v>-20</v>
      </c>
      <c r="B9" s="509">
        <v>21</v>
      </c>
      <c r="C9" s="423">
        <v>0</v>
      </c>
      <c r="D9" s="423">
        <v>0</v>
      </c>
      <c r="E9" s="423">
        <v>0</v>
      </c>
      <c r="F9" s="423">
        <v>0</v>
      </c>
      <c r="G9" s="423">
        <v>0</v>
      </c>
      <c r="H9" s="423">
        <v>0</v>
      </c>
      <c r="I9" s="423">
        <v>0</v>
      </c>
      <c r="J9" s="510">
        <f>SUM(B9:I9)</f>
        <v>21</v>
      </c>
      <c r="K9" s="312">
        <f t="shared" ref="K9:K19" si="0">J9/$J$20%</f>
        <v>3.4941763727121464</v>
      </c>
      <c r="L9" s="486">
        <v>-20</v>
      </c>
    </row>
    <row r="10" spans="1:12" ht="17.25" customHeight="1" thickBot="1">
      <c r="A10" s="225" t="s">
        <v>10</v>
      </c>
      <c r="B10" s="505">
        <v>91</v>
      </c>
      <c r="C10" s="152">
        <v>0</v>
      </c>
      <c r="D10" s="152">
        <v>1</v>
      </c>
      <c r="E10" s="152">
        <v>0</v>
      </c>
      <c r="F10" s="152">
        <v>0</v>
      </c>
      <c r="G10" s="152">
        <v>0</v>
      </c>
      <c r="H10" s="152">
        <v>0</v>
      </c>
      <c r="I10" s="152">
        <v>0</v>
      </c>
      <c r="J10" s="510">
        <f t="shared" ref="J10:J19" si="1">SUM(B10:I10)</f>
        <v>92</v>
      </c>
      <c r="K10" s="12">
        <f t="shared" si="0"/>
        <v>15.307820299500833</v>
      </c>
      <c r="L10" s="13" t="s">
        <v>10</v>
      </c>
    </row>
    <row r="11" spans="1:12" ht="17.25" customHeight="1" thickBot="1">
      <c r="A11" s="224" t="s">
        <v>11</v>
      </c>
      <c r="B11" s="505">
        <v>162</v>
      </c>
      <c r="C11" s="152">
        <v>0</v>
      </c>
      <c r="D11" s="152">
        <v>3</v>
      </c>
      <c r="E11" s="152">
        <v>3</v>
      </c>
      <c r="F11" s="152">
        <v>1</v>
      </c>
      <c r="G11" s="152">
        <v>1</v>
      </c>
      <c r="H11" s="152">
        <v>2</v>
      </c>
      <c r="I11" s="152">
        <v>0</v>
      </c>
      <c r="J11" s="510">
        <f t="shared" si="1"/>
        <v>172</v>
      </c>
      <c r="K11" s="15">
        <f t="shared" si="0"/>
        <v>28.618968386023294</v>
      </c>
      <c r="L11" s="16" t="s">
        <v>11</v>
      </c>
    </row>
    <row r="12" spans="1:12" ht="17.25" customHeight="1" thickBot="1">
      <c r="A12" s="225" t="s">
        <v>12</v>
      </c>
      <c r="B12" s="505">
        <v>119</v>
      </c>
      <c r="C12" s="152">
        <v>1</v>
      </c>
      <c r="D12" s="152">
        <v>0</v>
      </c>
      <c r="E12" s="152">
        <v>1</v>
      </c>
      <c r="F12" s="152">
        <v>2</v>
      </c>
      <c r="G12" s="152">
        <v>4</v>
      </c>
      <c r="H12" s="152">
        <v>1</v>
      </c>
      <c r="I12" s="152">
        <v>0</v>
      </c>
      <c r="J12" s="510">
        <f t="shared" si="1"/>
        <v>128</v>
      </c>
      <c r="K12" s="12">
        <f t="shared" si="0"/>
        <v>21.297836938435942</v>
      </c>
      <c r="L12" s="13" t="s">
        <v>12</v>
      </c>
    </row>
    <row r="13" spans="1:12" ht="17.25" customHeight="1" thickBot="1">
      <c r="A13" s="224" t="s">
        <v>13</v>
      </c>
      <c r="B13" s="505">
        <v>90</v>
      </c>
      <c r="C13" s="152">
        <v>1</v>
      </c>
      <c r="D13" s="152">
        <v>0</v>
      </c>
      <c r="E13" s="152">
        <v>2</v>
      </c>
      <c r="F13" s="152">
        <v>2</v>
      </c>
      <c r="G13" s="152">
        <v>1</v>
      </c>
      <c r="H13" s="152">
        <v>2</v>
      </c>
      <c r="I13" s="152">
        <v>0</v>
      </c>
      <c r="J13" s="510">
        <f t="shared" si="1"/>
        <v>98</v>
      </c>
      <c r="K13" s="15">
        <f t="shared" si="0"/>
        <v>16.306156405990016</v>
      </c>
      <c r="L13" s="16" t="s">
        <v>13</v>
      </c>
    </row>
    <row r="14" spans="1:12" ht="17.25" customHeight="1" thickBot="1">
      <c r="A14" s="225" t="s">
        <v>14</v>
      </c>
      <c r="B14" s="505">
        <v>34</v>
      </c>
      <c r="C14" s="152">
        <v>0</v>
      </c>
      <c r="D14" s="152">
        <v>1</v>
      </c>
      <c r="E14" s="152">
        <v>0</v>
      </c>
      <c r="F14" s="152">
        <v>0</v>
      </c>
      <c r="G14" s="152">
        <v>0</v>
      </c>
      <c r="H14" s="152">
        <v>0</v>
      </c>
      <c r="I14" s="152">
        <v>0</v>
      </c>
      <c r="J14" s="510">
        <f t="shared" si="1"/>
        <v>35</v>
      </c>
      <c r="K14" s="12">
        <f t="shared" si="0"/>
        <v>5.8236272878535775</v>
      </c>
      <c r="L14" s="13" t="s">
        <v>14</v>
      </c>
    </row>
    <row r="15" spans="1:12" ht="17.25" customHeight="1" thickBot="1">
      <c r="A15" s="224" t="s">
        <v>15</v>
      </c>
      <c r="B15" s="505">
        <v>25</v>
      </c>
      <c r="C15" s="152">
        <v>0</v>
      </c>
      <c r="D15" s="152">
        <v>0</v>
      </c>
      <c r="E15" s="152">
        <v>0</v>
      </c>
      <c r="F15" s="152">
        <v>1</v>
      </c>
      <c r="G15" s="152">
        <v>0</v>
      </c>
      <c r="H15" s="152">
        <v>0</v>
      </c>
      <c r="I15" s="152">
        <v>0</v>
      </c>
      <c r="J15" s="510">
        <f t="shared" si="1"/>
        <v>26</v>
      </c>
      <c r="K15" s="15">
        <f t="shared" si="0"/>
        <v>4.3261231281198</v>
      </c>
      <c r="L15" s="16" t="s">
        <v>15</v>
      </c>
    </row>
    <row r="16" spans="1:12" ht="17.25" customHeight="1" thickBot="1">
      <c r="A16" s="225" t="s">
        <v>16</v>
      </c>
      <c r="B16" s="505">
        <v>17</v>
      </c>
      <c r="C16" s="152">
        <v>0</v>
      </c>
      <c r="D16" s="152">
        <v>0</v>
      </c>
      <c r="E16" s="152">
        <v>0</v>
      </c>
      <c r="F16" s="152">
        <v>0</v>
      </c>
      <c r="G16" s="152">
        <v>0</v>
      </c>
      <c r="H16" s="152">
        <v>0</v>
      </c>
      <c r="I16" s="152">
        <v>0</v>
      </c>
      <c r="J16" s="510">
        <f t="shared" si="1"/>
        <v>17</v>
      </c>
      <c r="K16" s="12">
        <f t="shared" si="0"/>
        <v>2.8286189683860234</v>
      </c>
      <c r="L16" s="13" t="s">
        <v>16</v>
      </c>
    </row>
    <row r="17" spans="1:12" ht="17.25" customHeight="1" thickBot="1">
      <c r="A17" s="224" t="s">
        <v>17</v>
      </c>
      <c r="B17" s="505">
        <v>9</v>
      </c>
      <c r="C17" s="152">
        <v>0</v>
      </c>
      <c r="D17" s="152">
        <v>0</v>
      </c>
      <c r="E17" s="152">
        <v>0</v>
      </c>
      <c r="F17" s="152">
        <v>0</v>
      </c>
      <c r="G17" s="152">
        <v>0</v>
      </c>
      <c r="H17" s="152">
        <v>0</v>
      </c>
      <c r="I17" s="152">
        <v>0</v>
      </c>
      <c r="J17" s="510">
        <f t="shared" si="1"/>
        <v>9</v>
      </c>
      <c r="K17" s="15">
        <f t="shared" si="0"/>
        <v>1.497504159733777</v>
      </c>
      <c r="L17" s="16" t="s">
        <v>17</v>
      </c>
    </row>
    <row r="18" spans="1:12" ht="17.25" customHeight="1" thickBot="1">
      <c r="A18" s="225" t="s">
        <v>18</v>
      </c>
      <c r="B18" s="505">
        <v>3</v>
      </c>
      <c r="C18" s="152">
        <v>0</v>
      </c>
      <c r="D18" s="152">
        <v>0</v>
      </c>
      <c r="E18" s="152">
        <v>0</v>
      </c>
      <c r="F18" s="152">
        <v>0</v>
      </c>
      <c r="G18" s="152">
        <v>0</v>
      </c>
      <c r="H18" s="152">
        <v>0</v>
      </c>
      <c r="I18" s="152">
        <v>0</v>
      </c>
      <c r="J18" s="510">
        <f t="shared" si="1"/>
        <v>3</v>
      </c>
      <c r="K18" s="12">
        <f t="shared" si="0"/>
        <v>0.49916805324459235</v>
      </c>
      <c r="L18" s="13" t="s">
        <v>18</v>
      </c>
    </row>
    <row r="19" spans="1:12" ht="17.25" customHeight="1">
      <c r="A19" s="511" t="s">
        <v>19</v>
      </c>
      <c r="B19" s="512">
        <v>0</v>
      </c>
      <c r="C19" s="513">
        <v>0</v>
      </c>
      <c r="D19" s="513">
        <v>0</v>
      </c>
      <c r="E19" s="513">
        <v>0</v>
      </c>
      <c r="F19" s="513">
        <v>0</v>
      </c>
      <c r="G19" s="513">
        <v>0</v>
      </c>
      <c r="H19" s="513">
        <v>0</v>
      </c>
      <c r="I19" s="513">
        <v>0</v>
      </c>
      <c r="J19" s="780">
        <f t="shared" si="1"/>
        <v>0</v>
      </c>
      <c r="K19" s="287">
        <f t="shared" si="0"/>
        <v>0</v>
      </c>
      <c r="L19" s="514" t="s">
        <v>20</v>
      </c>
    </row>
    <row r="20" spans="1:12" ht="17.25" customHeight="1">
      <c r="A20" s="508" t="s">
        <v>21</v>
      </c>
      <c r="B20" s="499">
        <f t="shared" ref="B20:I20" si="2">SUM(B9:B19)</f>
        <v>571</v>
      </c>
      <c r="C20" s="499">
        <f t="shared" si="2"/>
        <v>2</v>
      </c>
      <c r="D20" s="499">
        <f t="shared" si="2"/>
        <v>5</v>
      </c>
      <c r="E20" s="499">
        <f t="shared" si="2"/>
        <v>6</v>
      </c>
      <c r="F20" s="499">
        <f t="shared" si="2"/>
        <v>6</v>
      </c>
      <c r="G20" s="499">
        <f t="shared" si="2"/>
        <v>6</v>
      </c>
      <c r="H20" s="499">
        <f t="shared" si="2"/>
        <v>5</v>
      </c>
      <c r="I20" s="499">
        <f t="shared" si="2"/>
        <v>0</v>
      </c>
      <c r="J20" s="781">
        <f>SUM(J9:J19)</f>
        <v>601</v>
      </c>
      <c r="K20" s="233">
        <f t="shared" ref="K20" si="3">SUM(K9:K19)</f>
        <v>100.00000000000001</v>
      </c>
      <c r="L20" s="217" t="s">
        <v>22</v>
      </c>
    </row>
    <row r="21" spans="1:12" ht="17.25" customHeight="1">
      <c r="A21" s="180" t="s">
        <v>23</v>
      </c>
      <c r="B21" s="501">
        <f>B20/$J$20%</f>
        <v>95.008319467554074</v>
      </c>
      <c r="C21" s="501">
        <f t="shared" ref="C21:I21" si="4">C20/$J$20%</f>
        <v>0.3327787021630616</v>
      </c>
      <c r="D21" s="501">
        <f t="shared" si="4"/>
        <v>0.83194675540765395</v>
      </c>
      <c r="E21" s="501">
        <f t="shared" si="4"/>
        <v>0.99833610648918469</v>
      </c>
      <c r="F21" s="501">
        <f t="shared" si="4"/>
        <v>0.99833610648918469</v>
      </c>
      <c r="G21" s="501">
        <f t="shared" si="4"/>
        <v>0.99833610648918469</v>
      </c>
      <c r="H21" s="501">
        <f t="shared" si="4"/>
        <v>0.83194675540765395</v>
      </c>
      <c r="I21" s="501">
        <f t="shared" si="4"/>
        <v>0</v>
      </c>
      <c r="J21" s="501">
        <f>SUM(B21:I21)</f>
        <v>100.00000000000003</v>
      </c>
      <c r="K21" s="502"/>
      <c r="L21" s="503" t="s">
        <v>603</v>
      </c>
    </row>
    <row r="22" spans="1:12">
      <c r="A22" s="93" t="s">
        <v>908</v>
      </c>
      <c r="L22" s="1" t="s">
        <v>932</v>
      </c>
    </row>
  </sheetData>
  <mergeCells count="8">
    <mergeCell ref="K7:K8"/>
    <mergeCell ref="A1:L1"/>
    <mergeCell ref="A2:L2"/>
    <mergeCell ref="A3:L3"/>
    <mergeCell ref="A4:L4"/>
    <mergeCell ref="A7:A8"/>
    <mergeCell ref="B7:J7"/>
    <mergeCell ref="L7:L8"/>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rightToLeft="1" view="pageBreakPreview" zoomScaleNormal="100" zoomScaleSheetLayoutView="100" workbookViewId="0">
      <selection activeCell="G20" sqref="G20"/>
    </sheetView>
  </sheetViews>
  <sheetFormatPr defaultColWidth="9.140625" defaultRowHeight="12.75"/>
  <cols>
    <col min="1" max="1" width="12.5703125" style="1" customWidth="1"/>
    <col min="2" max="13" width="8.85546875" style="1" customWidth="1"/>
    <col min="14" max="14" width="13.42578125" style="1" customWidth="1"/>
    <col min="15" max="16384" width="9.140625" style="1"/>
  </cols>
  <sheetData>
    <row r="1" spans="1:14" ht="23.25" customHeight="1">
      <c r="A1" s="934" t="s">
        <v>993</v>
      </c>
      <c r="B1" s="934"/>
      <c r="C1" s="934"/>
      <c r="D1" s="934"/>
      <c r="E1" s="934"/>
      <c r="F1" s="934"/>
      <c r="G1" s="934"/>
      <c r="H1" s="934"/>
      <c r="I1" s="934"/>
      <c r="J1" s="934"/>
      <c r="K1" s="934"/>
      <c r="L1" s="934"/>
      <c r="M1" s="934"/>
      <c r="N1" s="934"/>
    </row>
    <row r="2" spans="1:14" s="87" customFormat="1" ht="35.25" customHeight="1">
      <c r="A2" s="940" t="s">
        <v>631</v>
      </c>
      <c r="B2" s="940"/>
      <c r="C2" s="940"/>
      <c r="D2" s="940"/>
      <c r="E2" s="940"/>
      <c r="F2" s="940"/>
      <c r="G2" s="940"/>
      <c r="H2" s="940"/>
      <c r="I2" s="940"/>
      <c r="J2" s="940"/>
      <c r="K2" s="940"/>
      <c r="L2" s="940"/>
      <c r="M2" s="940"/>
      <c r="N2" s="940"/>
    </row>
    <row r="3" spans="1:14" s="87" customFormat="1" ht="15.75">
      <c r="A3" s="941" t="s">
        <v>1270</v>
      </c>
      <c r="B3" s="941"/>
      <c r="C3" s="941"/>
      <c r="D3" s="941"/>
      <c r="E3" s="941"/>
      <c r="F3" s="941"/>
      <c r="G3" s="941"/>
      <c r="H3" s="941"/>
      <c r="I3" s="941"/>
      <c r="J3" s="941"/>
      <c r="K3" s="941"/>
      <c r="L3" s="941"/>
      <c r="M3" s="941"/>
      <c r="N3" s="941"/>
    </row>
    <row r="4" spans="1:14" s="87" customFormat="1" ht="15.75">
      <c r="A4" s="630"/>
      <c r="B4" s="630"/>
      <c r="C4" s="630"/>
      <c r="D4" s="630"/>
      <c r="E4" s="630"/>
      <c r="F4" s="630"/>
      <c r="G4" s="630"/>
      <c r="H4" s="630"/>
      <c r="I4" s="630"/>
      <c r="J4" s="630"/>
      <c r="K4" s="630"/>
      <c r="L4" s="630"/>
      <c r="M4" s="630"/>
      <c r="N4" s="630"/>
    </row>
    <row r="5" spans="1:14" ht="21.75" customHeight="1">
      <c r="A5" s="631" t="s">
        <v>154</v>
      </c>
      <c r="B5" s="632"/>
      <c r="C5" s="632"/>
      <c r="D5" s="632"/>
      <c r="E5" s="632"/>
      <c r="F5" s="632"/>
      <c r="G5" s="632"/>
      <c r="H5" s="632"/>
      <c r="I5" s="632"/>
      <c r="J5" s="632"/>
      <c r="K5" s="632"/>
      <c r="L5" s="632"/>
      <c r="M5" s="632"/>
      <c r="N5" s="634" t="s">
        <v>632</v>
      </c>
    </row>
    <row r="6" spans="1:14" ht="38.25" customHeight="1" thickBot="1">
      <c r="A6" s="937" t="s">
        <v>147</v>
      </c>
      <c r="B6" s="948" t="s">
        <v>994</v>
      </c>
      <c r="C6" s="949"/>
      <c r="D6" s="949"/>
      <c r="E6" s="949"/>
      <c r="F6" s="949"/>
      <c r="G6" s="950"/>
      <c r="H6" s="951" t="s">
        <v>995</v>
      </c>
      <c r="I6" s="952"/>
      <c r="J6" s="952"/>
      <c r="K6" s="952"/>
      <c r="L6" s="952"/>
      <c r="M6" s="953"/>
      <c r="N6" s="942" t="s">
        <v>144</v>
      </c>
    </row>
    <row r="7" spans="1:14" ht="34.5" customHeight="1" thickBot="1">
      <c r="A7" s="946"/>
      <c r="B7" s="948" t="s">
        <v>864</v>
      </c>
      <c r="C7" s="949"/>
      <c r="D7" s="950"/>
      <c r="E7" s="948" t="s">
        <v>863</v>
      </c>
      <c r="F7" s="949"/>
      <c r="G7" s="950"/>
      <c r="H7" s="948" t="s">
        <v>864</v>
      </c>
      <c r="I7" s="949"/>
      <c r="J7" s="950"/>
      <c r="K7" s="948" t="s">
        <v>863</v>
      </c>
      <c r="L7" s="949"/>
      <c r="M7" s="950"/>
      <c r="N7" s="947"/>
    </row>
    <row r="8" spans="1:14" ht="33" customHeight="1">
      <c r="A8" s="939"/>
      <c r="B8" s="670" t="s">
        <v>859</v>
      </c>
      <c r="C8" s="670" t="s">
        <v>860</v>
      </c>
      <c r="D8" s="670" t="s">
        <v>799</v>
      </c>
      <c r="E8" s="670" t="s">
        <v>861</v>
      </c>
      <c r="F8" s="670" t="s">
        <v>862</v>
      </c>
      <c r="G8" s="670" t="s">
        <v>799</v>
      </c>
      <c r="H8" s="670" t="s">
        <v>859</v>
      </c>
      <c r="I8" s="670" t="s">
        <v>860</v>
      </c>
      <c r="J8" s="670" t="s">
        <v>799</v>
      </c>
      <c r="K8" s="670" t="s">
        <v>861</v>
      </c>
      <c r="L8" s="670" t="s">
        <v>862</v>
      </c>
      <c r="M8" s="670" t="s">
        <v>799</v>
      </c>
      <c r="N8" s="944"/>
    </row>
    <row r="9" spans="1:14" ht="23.25" customHeight="1" thickBot="1">
      <c r="A9" s="847">
        <v>2010</v>
      </c>
      <c r="B9" s="235">
        <v>2</v>
      </c>
      <c r="C9" s="235">
        <v>1</v>
      </c>
      <c r="D9" s="237">
        <v>3</v>
      </c>
      <c r="E9" s="235">
        <v>2</v>
      </c>
      <c r="F9" s="235">
        <v>1</v>
      </c>
      <c r="G9" s="237">
        <v>3</v>
      </c>
      <c r="H9" s="235">
        <v>5</v>
      </c>
      <c r="I9" s="235">
        <v>1</v>
      </c>
      <c r="J9" s="237">
        <v>6</v>
      </c>
      <c r="K9" s="235">
        <v>4</v>
      </c>
      <c r="L9" s="235">
        <v>2</v>
      </c>
      <c r="M9" s="237">
        <v>6</v>
      </c>
      <c r="N9" s="239">
        <v>2010</v>
      </c>
    </row>
    <row r="10" spans="1:14" ht="23.25" customHeight="1" thickBot="1">
      <c r="A10" s="848">
        <v>2011</v>
      </c>
      <c r="B10" s="849">
        <v>1</v>
      </c>
      <c r="C10" s="849">
        <v>0</v>
      </c>
      <c r="D10" s="850">
        <v>1</v>
      </c>
      <c r="E10" s="849">
        <v>1</v>
      </c>
      <c r="F10" s="849">
        <v>0</v>
      </c>
      <c r="G10" s="850">
        <v>1</v>
      </c>
      <c r="H10" s="849">
        <v>10</v>
      </c>
      <c r="I10" s="849">
        <v>5</v>
      </c>
      <c r="J10" s="850">
        <v>15</v>
      </c>
      <c r="K10" s="849">
        <v>10</v>
      </c>
      <c r="L10" s="849">
        <v>5</v>
      </c>
      <c r="M10" s="850">
        <v>15</v>
      </c>
      <c r="N10" s="851">
        <v>2011</v>
      </c>
    </row>
    <row r="11" spans="1:14" s="175" customFormat="1" ht="23.25" customHeight="1" thickBot="1">
      <c r="A11" s="852">
        <v>2012</v>
      </c>
      <c r="B11" s="853">
        <v>0</v>
      </c>
      <c r="C11" s="853">
        <v>2</v>
      </c>
      <c r="D11" s="854">
        <v>2</v>
      </c>
      <c r="E11" s="853">
        <v>1</v>
      </c>
      <c r="F11" s="853">
        <v>1</v>
      </c>
      <c r="G11" s="854">
        <v>2</v>
      </c>
      <c r="H11" s="853">
        <v>30</v>
      </c>
      <c r="I11" s="853">
        <v>26</v>
      </c>
      <c r="J11" s="854">
        <v>56</v>
      </c>
      <c r="K11" s="853">
        <v>28</v>
      </c>
      <c r="L11" s="853">
        <v>28</v>
      </c>
      <c r="M11" s="854">
        <v>56</v>
      </c>
      <c r="N11" s="855">
        <v>2012</v>
      </c>
    </row>
    <row r="12" spans="1:14" ht="23.25" customHeight="1" thickBot="1">
      <c r="A12" s="848">
        <v>2013</v>
      </c>
      <c r="B12" s="849">
        <v>2</v>
      </c>
      <c r="C12" s="849">
        <v>1</v>
      </c>
      <c r="D12" s="850">
        <v>3</v>
      </c>
      <c r="E12" s="849">
        <v>1</v>
      </c>
      <c r="F12" s="849">
        <v>2</v>
      </c>
      <c r="G12" s="850">
        <v>3</v>
      </c>
      <c r="H12" s="849">
        <v>5</v>
      </c>
      <c r="I12" s="849">
        <v>5</v>
      </c>
      <c r="J12" s="850">
        <v>10</v>
      </c>
      <c r="K12" s="849">
        <v>6</v>
      </c>
      <c r="L12" s="849">
        <v>4</v>
      </c>
      <c r="M12" s="850">
        <v>10</v>
      </c>
      <c r="N12" s="851">
        <v>2013</v>
      </c>
    </row>
    <row r="13" spans="1:14" s="175" customFormat="1" ht="23.25" customHeight="1">
      <c r="A13" s="856">
        <v>2014</v>
      </c>
      <c r="B13" s="857">
        <v>0</v>
      </c>
      <c r="C13" s="857">
        <v>0</v>
      </c>
      <c r="D13" s="858">
        <v>0</v>
      </c>
      <c r="E13" s="857">
        <v>0</v>
      </c>
      <c r="F13" s="857">
        <v>0</v>
      </c>
      <c r="G13" s="858">
        <v>0</v>
      </c>
      <c r="H13" s="857">
        <v>0</v>
      </c>
      <c r="I13" s="857">
        <v>0</v>
      </c>
      <c r="J13" s="858">
        <v>0</v>
      </c>
      <c r="K13" s="857">
        <v>0</v>
      </c>
      <c r="L13" s="857">
        <v>0</v>
      </c>
      <c r="M13" s="858">
        <v>0</v>
      </c>
      <c r="N13" s="859">
        <v>2014</v>
      </c>
    </row>
  </sheetData>
  <mergeCells count="11">
    <mergeCell ref="A6:A8"/>
    <mergeCell ref="N6:N8"/>
    <mergeCell ref="A1:N1"/>
    <mergeCell ref="A2:N2"/>
    <mergeCell ref="A3:N3"/>
    <mergeCell ref="B7:D7"/>
    <mergeCell ref="E7:G7"/>
    <mergeCell ref="B6:G6"/>
    <mergeCell ref="H6:M6"/>
    <mergeCell ref="H7:J7"/>
    <mergeCell ref="K7:M7"/>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rightToLeft="1" view="pageBreakPreview" zoomScaleNormal="75" workbookViewId="0">
      <selection activeCell="O8" sqref="O8"/>
    </sheetView>
  </sheetViews>
  <sheetFormatPr defaultColWidth="9.140625" defaultRowHeight="12.75"/>
  <cols>
    <col min="1" max="1" width="19.85546875" style="1" customWidth="1"/>
    <col min="2" max="10" width="8.7109375" style="1" customWidth="1"/>
    <col min="11" max="11" width="11.85546875" style="1" customWidth="1"/>
    <col min="12" max="12" width="24.7109375" style="1" customWidth="1"/>
    <col min="13" max="16384" width="9.140625" style="1"/>
  </cols>
  <sheetData>
    <row r="1" spans="1:12" s="2" customFormat="1" ht="24" customHeight="1">
      <c r="A1" s="934" t="s">
        <v>0</v>
      </c>
      <c r="B1" s="934"/>
      <c r="C1" s="994"/>
      <c r="D1" s="934"/>
      <c r="E1" s="934"/>
      <c r="F1" s="934"/>
      <c r="G1" s="934"/>
      <c r="H1" s="934"/>
      <c r="I1" s="934"/>
      <c r="J1" s="934"/>
      <c r="K1" s="934"/>
      <c r="L1" s="934"/>
    </row>
    <row r="2" spans="1:12" s="3" customFormat="1" ht="18" customHeight="1">
      <c r="A2" s="958" t="s">
        <v>933</v>
      </c>
      <c r="B2" s="958"/>
      <c r="C2" s="958"/>
      <c r="D2" s="958"/>
      <c r="E2" s="958"/>
      <c r="F2" s="958"/>
      <c r="G2" s="958"/>
      <c r="H2" s="958"/>
      <c r="I2" s="958"/>
      <c r="J2" s="958"/>
      <c r="K2" s="958"/>
      <c r="L2" s="958"/>
    </row>
    <row r="3" spans="1:12" s="2" customFormat="1" ht="15.75">
      <c r="A3" s="959">
        <v>2015</v>
      </c>
      <c r="B3" s="959"/>
      <c r="C3" s="959"/>
      <c r="D3" s="959"/>
      <c r="E3" s="959"/>
      <c r="F3" s="959"/>
      <c r="G3" s="959"/>
      <c r="H3" s="959"/>
      <c r="I3" s="959"/>
      <c r="J3" s="959"/>
      <c r="K3" s="959"/>
      <c r="L3" s="959"/>
    </row>
    <row r="4" spans="1:12" s="2" customFormat="1" ht="15.75">
      <c r="A4" s="959" t="s">
        <v>1</v>
      </c>
      <c r="B4" s="959"/>
      <c r="C4" s="959"/>
      <c r="D4" s="959"/>
      <c r="E4" s="959"/>
      <c r="F4" s="959"/>
      <c r="G4" s="959"/>
      <c r="H4" s="959"/>
      <c r="I4" s="959"/>
      <c r="J4" s="959"/>
      <c r="K4" s="959"/>
      <c r="L4" s="959"/>
    </row>
    <row r="5" spans="1:12" s="2" customFormat="1" ht="15.75">
      <c r="A5" s="635"/>
      <c r="B5" s="635"/>
      <c r="C5" s="635"/>
      <c r="D5" s="635"/>
      <c r="E5" s="635"/>
      <c r="F5" s="635"/>
      <c r="G5" s="635"/>
      <c r="H5" s="635"/>
      <c r="I5" s="635"/>
      <c r="J5" s="635"/>
      <c r="K5" s="635"/>
      <c r="L5" s="635"/>
    </row>
    <row r="6" spans="1:12" ht="15.75">
      <c r="A6" s="648" t="s">
        <v>824</v>
      </c>
      <c r="B6" s="652"/>
      <c r="C6" s="652"/>
      <c r="D6" s="652"/>
      <c r="E6" s="652"/>
      <c r="F6" s="652"/>
      <c r="G6" s="652"/>
      <c r="H6" s="652"/>
      <c r="I6" s="652"/>
      <c r="J6" s="652"/>
      <c r="K6" s="652"/>
      <c r="L6" s="650" t="s">
        <v>825</v>
      </c>
    </row>
    <row r="7" spans="1:12" ht="30.75" customHeight="1" thickBot="1">
      <c r="A7" s="985" t="s">
        <v>4</v>
      </c>
      <c r="B7" s="1020" t="s">
        <v>939</v>
      </c>
      <c r="C7" s="1020"/>
      <c r="D7" s="1020"/>
      <c r="E7" s="1020"/>
      <c r="F7" s="1020"/>
      <c r="G7" s="1020"/>
      <c r="H7" s="1020"/>
      <c r="I7" s="1020"/>
      <c r="J7" s="1020"/>
      <c r="K7" s="1000" t="s">
        <v>5</v>
      </c>
      <c r="L7" s="997" t="s">
        <v>6</v>
      </c>
    </row>
    <row r="8" spans="1:12" ht="39" customHeight="1">
      <c r="A8" s="986"/>
      <c r="B8" s="577">
        <v>0</v>
      </c>
      <c r="C8" s="577">
        <v>1</v>
      </c>
      <c r="D8" s="577">
        <v>2</v>
      </c>
      <c r="E8" s="577">
        <v>3</v>
      </c>
      <c r="F8" s="577">
        <v>4</v>
      </c>
      <c r="G8" s="577">
        <v>5</v>
      </c>
      <c r="H8" s="577" t="s">
        <v>7</v>
      </c>
      <c r="I8" s="586" t="s">
        <v>8</v>
      </c>
      <c r="J8" s="583" t="s">
        <v>9</v>
      </c>
      <c r="K8" s="1023"/>
      <c r="L8" s="1037"/>
    </row>
    <row r="9" spans="1:12" ht="17.25" customHeight="1" thickBot="1">
      <c r="A9" s="457">
        <v>-20</v>
      </c>
      <c r="B9" s="505">
        <v>52</v>
      </c>
      <c r="C9" s="152">
        <v>0</v>
      </c>
      <c r="D9" s="152">
        <v>0</v>
      </c>
      <c r="E9" s="152">
        <v>0</v>
      </c>
      <c r="F9" s="152">
        <v>0</v>
      </c>
      <c r="G9" s="152">
        <v>0</v>
      </c>
      <c r="H9" s="152">
        <v>0</v>
      </c>
      <c r="I9" s="152">
        <v>0</v>
      </c>
      <c r="J9" s="507">
        <f>SUM(B9:I9)</f>
        <v>52</v>
      </c>
      <c r="K9" s="458">
        <f t="shared" ref="K9:K19" si="0">J9/$J$20%</f>
        <v>3.9785768936495791</v>
      </c>
      <c r="L9" s="486">
        <v>-20</v>
      </c>
    </row>
    <row r="10" spans="1:12" ht="17.25" customHeight="1" thickBot="1">
      <c r="A10" s="451" t="s">
        <v>10</v>
      </c>
      <c r="B10" s="505">
        <v>273</v>
      </c>
      <c r="C10" s="152">
        <v>0</v>
      </c>
      <c r="D10" s="152">
        <v>1</v>
      </c>
      <c r="E10" s="152">
        <v>0</v>
      </c>
      <c r="F10" s="152">
        <v>0</v>
      </c>
      <c r="G10" s="152">
        <v>0</v>
      </c>
      <c r="H10" s="152">
        <v>0</v>
      </c>
      <c r="I10" s="152">
        <v>0</v>
      </c>
      <c r="J10" s="507">
        <f t="shared" ref="J10:J19" si="1">SUM(B10:I10)</f>
        <v>274</v>
      </c>
      <c r="K10" s="453">
        <f t="shared" si="0"/>
        <v>20.964039785768936</v>
      </c>
      <c r="L10" s="13" t="s">
        <v>10</v>
      </c>
    </row>
    <row r="11" spans="1:12" ht="17.25" customHeight="1" thickBot="1">
      <c r="A11" s="515" t="s">
        <v>11</v>
      </c>
      <c r="B11" s="505">
        <v>340</v>
      </c>
      <c r="C11" s="152">
        <v>2</v>
      </c>
      <c r="D11" s="152">
        <v>3</v>
      </c>
      <c r="E11" s="152">
        <v>3</v>
      </c>
      <c r="F11" s="152">
        <v>1</v>
      </c>
      <c r="G11" s="152">
        <v>1</v>
      </c>
      <c r="H11" s="152">
        <v>2</v>
      </c>
      <c r="I11" s="152">
        <v>0</v>
      </c>
      <c r="J11" s="507">
        <f t="shared" si="1"/>
        <v>352</v>
      </c>
      <c r="K11" s="517">
        <f t="shared" si="0"/>
        <v>26.931905126243304</v>
      </c>
      <c r="L11" s="16" t="s">
        <v>11</v>
      </c>
    </row>
    <row r="12" spans="1:12" ht="17.25" customHeight="1" thickBot="1">
      <c r="A12" s="451" t="s">
        <v>12</v>
      </c>
      <c r="B12" s="505">
        <v>220</v>
      </c>
      <c r="C12" s="152">
        <v>3</v>
      </c>
      <c r="D12" s="152">
        <v>0</v>
      </c>
      <c r="E12" s="152">
        <v>2</v>
      </c>
      <c r="F12" s="152">
        <v>2</v>
      </c>
      <c r="G12" s="152">
        <v>4</v>
      </c>
      <c r="H12" s="152">
        <v>1</v>
      </c>
      <c r="I12" s="152">
        <v>0</v>
      </c>
      <c r="J12" s="507">
        <f t="shared" si="1"/>
        <v>232</v>
      </c>
      <c r="K12" s="453">
        <f t="shared" si="0"/>
        <v>17.750573833205813</v>
      </c>
      <c r="L12" s="13" t="s">
        <v>12</v>
      </c>
    </row>
    <row r="13" spans="1:12" ht="17.25" customHeight="1" thickBot="1">
      <c r="A13" s="515" t="s">
        <v>13</v>
      </c>
      <c r="B13" s="505">
        <v>160</v>
      </c>
      <c r="C13" s="152">
        <v>1</v>
      </c>
      <c r="D13" s="152">
        <v>0</v>
      </c>
      <c r="E13" s="152">
        <v>4</v>
      </c>
      <c r="F13" s="152">
        <v>3</v>
      </c>
      <c r="G13" s="152">
        <v>1</v>
      </c>
      <c r="H13" s="152">
        <v>3</v>
      </c>
      <c r="I13" s="152">
        <v>0</v>
      </c>
      <c r="J13" s="507">
        <f t="shared" si="1"/>
        <v>172</v>
      </c>
      <c r="K13" s="517">
        <f t="shared" si="0"/>
        <v>13.159908186687069</v>
      </c>
      <c r="L13" s="16" t="s">
        <v>13</v>
      </c>
    </row>
    <row r="14" spans="1:12" ht="17.25" customHeight="1" thickBot="1">
      <c r="A14" s="451" t="s">
        <v>14</v>
      </c>
      <c r="B14" s="505">
        <v>74</v>
      </c>
      <c r="C14" s="152">
        <v>1</v>
      </c>
      <c r="D14" s="152">
        <v>1</v>
      </c>
      <c r="E14" s="152">
        <v>1</v>
      </c>
      <c r="F14" s="152">
        <v>0</v>
      </c>
      <c r="G14" s="152">
        <v>1</v>
      </c>
      <c r="H14" s="152">
        <v>3</v>
      </c>
      <c r="I14" s="152">
        <v>0</v>
      </c>
      <c r="J14" s="507">
        <f t="shared" si="1"/>
        <v>81</v>
      </c>
      <c r="K14" s="453">
        <f t="shared" si="0"/>
        <v>6.1973986228003062</v>
      </c>
      <c r="L14" s="13" t="s">
        <v>14</v>
      </c>
    </row>
    <row r="15" spans="1:12" ht="17.25" customHeight="1" thickBot="1">
      <c r="A15" s="515" t="s">
        <v>15</v>
      </c>
      <c r="B15" s="505">
        <v>61</v>
      </c>
      <c r="C15" s="152">
        <v>1</v>
      </c>
      <c r="D15" s="152">
        <v>0</v>
      </c>
      <c r="E15" s="152">
        <v>0</v>
      </c>
      <c r="F15" s="152">
        <v>3</v>
      </c>
      <c r="G15" s="152">
        <v>1</v>
      </c>
      <c r="H15" s="152">
        <v>1</v>
      </c>
      <c r="I15" s="152">
        <v>0</v>
      </c>
      <c r="J15" s="507">
        <f t="shared" si="1"/>
        <v>67</v>
      </c>
      <c r="K15" s="517">
        <f t="shared" si="0"/>
        <v>5.1262433052792655</v>
      </c>
      <c r="L15" s="16" t="s">
        <v>15</v>
      </c>
    </row>
    <row r="16" spans="1:12" ht="17.25" customHeight="1" thickBot="1">
      <c r="A16" s="451" t="s">
        <v>16</v>
      </c>
      <c r="B16" s="505">
        <v>36</v>
      </c>
      <c r="C16" s="152">
        <v>0</v>
      </c>
      <c r="D16" s="152">
        <v>0</v>
      </c>
      <c r="E16" s="152">
        <v>1</v>
      </c>
      <c r="F16" s="152">
        <v>0</v>
      </c>
      <c r="G16" s="152">
        <v>0</v>
      </c>
      <c r="H16" s="152">
        <v>2</v>
      </c>
      <c r="I16" s="152">
        <v>0</v>
      </c>
      <c r="J16" s="507">
        <f t="shared" si="1"/>
        <v>39</v>
      </c>
      <c r="K16" s="453">
        <f t="shared" si="0"/>
        <v>2.9839326702371842</v>
      </c>
      <c r="L16" s="13" t="s">
        <v>16</v>
      </c>
    </row>
    <row r="17" spans="1:12" ht="17.25" customHeight="1" thickBot="1">
      <c r="A17" s="515" t="s">
        <v>17</v>
      </c>
      <c r="B17" s="505">
        <v>28</v>
      </c>
      <c r="C17" s="152">
        <v>0</v>
      </c>
      <c r="D17" s="152">
        <v>0</v>
      </c>
      <c r="E17" s="152">
        <v>0</v>
      </c>
      <c r="F17" s="152">
        <v>0</v>
      </c>
      <c r="G17" s="152">
        <v>0</v>
      </c>
      <c r="H17" s="152">
        <v>1</v>
      </c>
      <c r="I17" s="152">
        <v>0</v>
      </c>
      <c r="J17" s="507">
        <f t="shared" si="1"/>
        <v>29</v>
      </c>
      <c r="K17" s="517">
        <f t="shared" si="0"/>
        <v>2.2188217291507266</v>
      </c>
      <c r="L17" s="16" t="s">
        <v>17</v>
      </c>
    </row>
    <row r="18" spans="1:12" ht="17.25" customHeight="1" thickBot="1">
      <c r="A18" s="451" t="s">
        <v>18</v>
      </c>
      <c r="B18" s="505">
        <v>9</v>
      </c>
      <c r="C18" s="152">
        <v>0</v>
      </c>
      <c r="D18" s="152">
        <v>0</v>
      </c>
      <c r="E18" s="152">
        <v>0</v>
      </c>
      <c r="F18" s="152">
        <v>0</v>
      </c>
      <c r="G18" s="152">
        <v>0</v>
      </c>
      <c r="H18" s="152">
        <v>0</v>
      </c>
      <c r="I18" s="152">
        <v>0</v>
      </c>
      <c r="J18" s="507">
        <f t="shared" si="1"/>
        <v>9</v>
      </c>
      <c r="K18" s="453">
        <f t="shared" si="0"/>
        <v>0.68859984697781174</v>
      </c>
      <c r="L18" s="13" t="s">
        <v>18</v>
      </c>
    </row>
    <row r="19" spans="1:12" ht="17.25" customHeight="1" thickBot="1">
      <c r="A19" s="516" t="s">
        <v>19</v>
      </c>
      <c r="B19" s="506">
        <v>0</v>
      </c>
      <c r="C19" s="497">
        <v>0</v>
      </c>
      <c r="D19" s="497">
        <v>0</v>
      </c>
      <c r="E19" s="497">
        <v>0</v>
      </c>
      <c r="F19" s="497">
        <v>0</v>
      </c>
      <c r="G19" s="497">
        <v>0</v>
      </c>
      <c r="H19" s="497">
        <v>0</v>
      </c>
      <c r="I19" s="497">
        <v>0</v>
      </c>
      <c r="J19" s="507">
        <f t="shared" si="1"/>
        <v>0</v>
      </c>
      <c r="K19" s="518">
        <f t="shared" si="0"/>
        <v>0</v>
      </c>
      <c r="L19" s="514" t="s">
        <v>20</v>
      </c>
    </row>
    <row r="20" spans="1:12" ht="17.25" customHeight="1">
      <c r="A20" s="508" t="s">
        <v>21</v>
      </c>
      <c r="B20" s="499">
        <f t="shared" ref="B20:I20" si="2">SUM(B9:B19)</f>
        <v>1253</v>
      </c>
      <c r="C20" s="499">
        <f t="shared" si="2"/>
        <v>8</v>
      </c>
      <c r="D20" s="499">
        <f t="shared" si="2"/>
        <v>5</v>
      </c>
      <c r="E20" s="499">
        <f t="shared" si="2"/>
        <v>11</v>
      </c>
      <c r="F20" s="499">
        <f t="shared" si="2"/>
        <v>9</v>
      </c>
      <c r="G20" s="499">
        <f t="shared" si="2"/>
        <v>8</v>
      </c>
      <c r="H20" s="499">
        <f t="shared" si="2"/>
        <v>13</v>
      </c>
      <c r="I20" s="499">
        <f t="shared" si="2"/>
        <v>0</v>
      </c>
      <c r="J20" s="499">
        <f>SUM(J9:J19)</f>
        <v>1307</v>
      </c>
      <c r="K20" s="233">
        <f t="shared" ref="K20" si="3">SUM(K9:K19)</f>
        <v>99.999999999999986</v>
      </c>
      <c r="L20" s="217" t="s">
        <v>22</v>
      </c>
    </row>
    <row r="21" spans="1:12" ht="17.25" customHeight="1">
      <c r="A21" s="180" t="s">
        <v>23</v>
      </c>
      <c r="B21" s="501">
        <f>B20/$J$20%</f>
        <v>95.868400918133133</v>
      </c>
      <c r="C21" s="501">
        <f t="shared" ref="C21:I21" si="4">C20/$J$20%</f>
        <v>0.61208875286916598</v>
      </c>
      <c r="D21" s="501">
        <f t="shared" si="4"/>
        <v>0.38255547054322875</v>
      </c>
      <c r="E21" s="501">
        <f t="shared" si="4"/>
        <v>0.84162203519510326</v>
      </c>
      <c r="F21" s="501">
        <f t="shared" si="4"/>
        <v>0.68859984697781174</v>
      </c>
      <c r="G21" s="501">
        <f t="shared" si="4"/>
        <v>0.61208875286916598</v>
      </c>
      <c r="H21" s="501">
        <f t="shared" si="4"/>
        <v>0.99464422341239478</v>
      </c>
      <c r="I21" s="501">
        <f t="shared" si="4"/>
        <v>0</v>
      </c>
      <c r="J21" s="501">
        <f>SUM(B21:I21)</f>
        <v>100</v>
      </c>
      <c r="K21" s="502"/>
      <c r="L21" s="503" t="s">
        <v>24</v>
      </c>
    </row>
    <row r="22" spans="1:12">
      <c r="A22" s="93" t="s">
        <v>908</v>
      </c>
      <c r="L22" s="1" t="s">
        <v>932</v>
      </c>
    </row>
    <row r="30" spans="1:12">
      <c r="B30" s="1" t="s">
        <v>25</v>
      </c>
      <c r="C30" s="1" t="s">
        <v>26</v>
      </c>
    </row>
    <row r="31" spans="1:12">
      <c r="A31" s="1">
        <v>-20</v>
      </c>
      <c r="B31" s="1">
        <f>'43-1'!J9</f>
        <v>31</v>
      </c>
      <c r="C31" s="1">
        <f>'43-2'!J9</f>
        <v>21</v>
      </c>
    </row>
    <row r="32" spans="1:12">
      <c r="A32" s="1" t="s">
        <v>10</v>
      </c>
      <c r="B32" s="1">
        <f>'43-1'!J10</f>
        <v>182</v>
      </c>
      <c r="C32" s="1">
        <f>'43-2'!J10</f>
        <v>92</v>
      </c>
    </row>
    <row r="33" spans="1:4">
      <c r="A33" s="1" t="s">
        <v>11</v>
      </c>
      <c r="B33" s="1">
        <f>'43-1'!J11</f>
        <v>180</v>
      </c>
      <c r="C33" s="1">
        <f>'43-2'!J11</f>
        <v>172</v>
      </c>
    </row>
    <row r="34" spans="1:4">
      <c r="A34" s="1" t="s">
        <v>12</v>
      </c>
      <c r="B34" s="1">
        <f>'43-1'!J12</f>
        <v>104</v>
      </c>
      <c r="C34" s="1">
        <f>'43-2'!J12</f>
        <v>128</v>
      </c>
    </row>
    <row r="35" spans="1:4">
      <c r="A35" s="1" t="s">
        <v>13</v>
      </c>
      <c r="B35" s="1">
        <f>'43-1'!J13</f>
        <v>74</v>
      </c>
      <c r="C35" s="1">
        <f>'43-2'!J13</f>
        <v>98</v>
      </c>
    </row>
    <row r="36" spans="1:4">
      <c r="A36" s="1" t="s">
        <v>14</v>
      </c>
      <c r="B36" s="1">
        <f>'43-1'!J14</f>
        <v>46</v>
      </c>
      <c r="C36" s="1">
        <f>'43-2'!J14</f>
        <v>35</v>
      </c>
    </row>
    <row r="37" spans="1:4">
      <c r="A37" s="1" t="s">
        <v>15</v>
      </c>
      <c r="B37" s="1">
        <f>'43-1'!J15</f>
        <v>41</v>
      </c>
      <c r="C37" s="1">
        <f>'43-2'!J15</f>
        <v>26</v>
      </c>
    </row>
    <row r="38" spans="1:4">
      <c r="A38" s="1" t="s">
        <v>16</v>
      </c>
      <c r="B38" s="1">
        <f>'43-1'!J16</f>
        <v>22</v>
      </c>
      <c r="C38" s="1">
        <f>'43-2'!J16</f>
        <v>17</v>
      </c>
    </row>
    <row r="39" spans="1:4">
      <c r="A39" s="1" t="s">
        <v>17</v>
      </c>
      <c r="B39" s="1">
        <f>'43-1'!J17</f>
        <v>20</v>
      </c>
      <c r="C39" s="1">
        <f>'43-2'!J17</f>
        <v>9</v>
      </c>
    </row>
    <row r="40" spans="1:4">
      <c r="A40" s="1" t="s">
        <v>18</v>
      </c>
      <c r="B40" s="1">
        <f>'43-1'!J18</f>
        <v>6</v>
      </c>
      <c r="C40" s="1">
        <f>'43-2'!J18</f>
        <v>3</v>
      </c>
    </row>
    <row r="41" spans="1:4">
      <c r="A41" s="1" t="s">
        <v>19</v>
      </c>
      <c r="B41" s="1">
        <f>'43-1'!J19</f>
        <v>0</v>
      </c>
      <c r="C41" s="1">
        <f>'43-2'!J19</f>
        <v>0</v>
      </c>
    </row>
    <row r="42" spans="1:4">
      <c r="B42" s="1">
        <f>SUM(B31:B41)</f>
        <v>706</v>
      </c>
      <c r="C42" s="1">
        <f>SUM(C31:C41)</f>
        <v>601</v>
      </c>
      <c r="D42" s="1">
        <f>B42+C42</f>
        <v>1307</v>
      </c>
    </row>
  </sheetData>
  <mergeCells count="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rightToLeft="1" view="pageBreakPreview" zoomScaleNormal="75" workbookViewId="0">
      <selection activeCell="J7" sqref="J7"/>
    </sheetView>
  </sheetViews>
  <sheetFormatPr defaultColWidth="9.140625" defaultRowHeight="12.75"/>
  <cols>
    <col min="1" max="1" width="16.85546875" style="2" customWidth="1"/>
    <col min="2" max="2" width="11.7109375" style="2" customWidth="1"/>
    <col min="3" max="10" width="7.7109375" style="2" customWidth="1"/>
    <col min="11" max="12" width="10.7109375" style="2" customWidth="1"/>
    <col min="13" max="13" width="11.85546875" style="330" customWidth="1"/>
    <col min="14" max="14" width="24.7109375" style="2" customWidth="1"/>
    <col min="15" max="16384" width="9.140625" style="2"/>
  </cols>
  <sheetData>
    <row r="1" spans="1:15" ht="18">
      <c r="A1" s="1058" t="s">
        <v>35</v>
      </c>
      <c r="B1" s="1058"/>
      <c r="C1" s="1058"/>
      <c r="D1" s="1072"/>
      <c r="E1" s="1058"/>
      <c r="F1" s="1058"/>
      <c r="G1" s="1058"/>
      <c r="H1" s="1058"/>
      <c r="I1" s="1058"/>
      <c r="J1" s="1058"/>
      <c r="K1" s="1058"/>
      <c r="L1" s="1058"/>
      <c r="M1" s="1058"/>
      <c r="N1" s="1058"/>
    </row>
    <row r="2" spans="1:15" s="3" customFormat="1" ht="18" customHeight="1">
      <c r="A2" s="1069" t="s">
        <v>973</v>
      </c>
      <c r="B2" s="1069"/>
      <c r="C2" s="1069"/>
      <c r="D2" s="1069"/>
      <c r="E2" s="1069"/>
      <c r="F2" s="1069"/>
      <c r="G2" s="1069"/>
      <c r="H2" s="1069"/>
      <c r="I2" s="1069"/>
      <c r="J2" s="1069"/>
      <c r="K2" s="1069"/>
      <c r="L2" s="1069"/>
      <c r="M2" s="1069"/>
      <c r="N2" s="1069"/>
    </row>
    <row r="3" spans="1:15" ht="15.75">
      <c r="A3" s="1059">
        <v>2015</v>
      </c>
      <c r="B3" s="1059"/>
      <c r="C3" s="1059"/>
      <c r="D3" s="1059"/>
      <c r="E3" s="1059"/>
      <c r="F3" s="1059"/>
      <c r="G3" s="1059"/>
      <c r="H3" s="1059"/>
      <c r="I3" s="1059"/>
      <c r="J3" s="1059"/>
      <c r="K3" s="1059"/>
      <c r="L3" s="1059"/>
      <c r="M3" s="1059"/>
      <c r="N3" s="1059"/>
    </row>
    <row r="4" spans="1:15" ht="15.75">
      <c r="A4" s="1059"/>
      <c r="B4" s="1059"/>
      <c r="C4" s="1059"/>
      <c r="D4" s="1059"/>
      <c r="E4" s="1059"/>
      <c r="F4" s="1059"/>
      <c r="G4" s="1059"/>
      <c r="H4" s="1059"/>
      <c r="I4" s="1059"/>
      <c r="J4" s="1059"/>
      <c r="K4" s="1059"/>
      <c r="L4" s="1059"/>
      <c r="M4" s="1059"/>
      <c r="N4" s="1059"/>
    </row>
    <row r="5" spans="1:15" ht="15.75">
      <c r="A5" s="4" t="s">
        <v>890</v>
      </c>
      <c r="B5" s="4"/>
      <c r="C5" s="68"/>
      <c r="D5" s="68"/>
      <c r="E5" s="68"/>
      <c r="F5" s="68"/>
      <c r="G5" s="68"/>
      <c r="H5" s="68"/>
      <c r="I5" s="68"/>
      <c r="J5" s="68"/>
      <c r="K5" s="68"/>
      <c r="L5" s="68"/>
      <c r="M5" s="328"/>
      <c r="N5" s="6" t="s">
        <v>891</v>
      </c>
      <c r="O5" s="313"/>
    </row>
    <row r="6" spans="1:15" ht="30.75" customHeight="1" thickBot="1">
      <c r="A6" s="985" t="s">
        <v>433</v>
      </c>
      <c r="B6" s="1000" t="s">
        <v>475</v>
      </c>
      <c r="C6" s="1020" t="s">
        <v>938</v>
      </c>
      <c r="D6" s="1020"/>
      <c r="E6" s="1020"/>
      <c r="F6" s="1020"/>
      <c r="G6" s="1020"/>
      <c r="H6" s="1020"/>
      <c r="I6" s="1020"/>
      <c r="J6" s="1020"/>
      <c r="K6" s="1020"/>
      <c r="L6" s="1000" t="s">
        <v>5</v>
      </c>
      <c r="M6" s="1021" t="s">
        <v>474</v>
      </c>
      <c r="N6" s="997" t="s">
        <v>473</v>
      </c>
      <c r="O6" s="313"/>
    </row>
    <row r="7" spans="1:15" ht="37.5" customHeight="1">
      <c r="A7" s="992"/>
      <c r="B7" s="1001"/>
      <c r="C7" s="577">
        <v>0</v>
      </c>
      <c r="D7" s="577">
        <v>1</v>
      </c>
      <c r="E7" s="577">
        <v>2</v>
      </c>
      <c r="F7" s="577">
        <v>3</v>
      </c>
      <c r="G7" s="577">
        <v>4</v>
      </c>
      <c r="H7" s="577">
        <v>5</v>
      </c>
      <c r="I7" s="577" t="s">
        <v>7</v>
      </c>
      <c r="J7" s="577" t="s">
        <v>8</v>
      </c>
      <c r="K7" s="583" t="s">
        <v>9</v>
      </c>
      <c r="L7" s="1023"/>
      <c r="M7" s="1022"/>
      <c r="N7" s="998"/>
      <c r="O7" s="313"/>
    </row>
    <row r="8" spans="1:15" ht="25.5" customHeight="1" thickBot="1">
      <c r="A8" s="1016" t="s">
        <v>462</v>
      </c>
      <c r="B8" s="340" t="s">
        <v>467</v>
      </c>
      <c r="C8" s="353">
        <v>610</v>
      </c>
      <c r="D8" s="352">
        <v>6</v>
      </c>
      <c r="E8" s="352">
        <v>0</v>
      </c>
      <c r="F8" s="352">
        <v>4</v>
      </c>
      <c r="G8" s="352">
        <v>2</v>
      </c>
      <c r="H8" s="352">
        <v>2</v>
      </c>
      <c r="I8" s="352">
        <v>6</v>
      </c>
      <c r="J8" s="352">
        <v>0</v>
      </c>
      <c r="K8" s="519">
        <f>SUM(C8:J8)</f>
        <v>630</v>
      </c>
      <c r="L8" s="722">
        <f>K8/$K$16%</f>
        <v>48.201989288446825</v>
      </c>
      <c r="M8" s="335" t="s">
        <v>466</v>
      </c>
      <c r="N8" s="1015" t="s">
        <v>472</v>
      </c>
      <c r="O8" s="313"/>
    </row>
    <row r="9" spans="1:15" ht="25.5" customHeight="1" thickBot="1">
      <c r="A9" s="1017"/>
      <c r="B9" s="341" t="s">
        <v>465</v>
      </c>
      <c r="C9" s="348">
        <v>0</v>
      </c>
      <c r="D9" s="332">
        <v>6</v>
      </c>
      <c r="E9" s="332">
        <v>0</v>
      </c>
      <c r="F9" s="332">
        <v>12</v>
      </c>
      <c r="G9" s="332">
        <v>8</v>
      </c>
      <c r="H9" s="332">
        <v>10</v>
      </c>
      <c r="I9" s="332">
        <v>52</v>
      </c>
      <c r="J9" s="332">
        <v>0</v>
      </c>
      <c r="K9" s="519">
        <f t="shared" ref="K9:K15" si="0">SUM(C9:J9)</f>
        <v>88</v>
      </c>
      <c r="L9" s="728">
        <f>K9/$K$17%</f>
        <v>36.514522821576762</v>
      </c>
      <c r="M9" s="336" t="s">
        <v>464</v>
      </c>
      <c r="N9" s="1013"/>
      <c r="O9" s="313"/>
    </row>
    <row r="10" spans="1:15" ht="25.5" customHeight="1" thickBot="1">
      <c r="A10" s="1018" t="s">
        <v>471</v>
      </c>
      <c r="B10" s="342" t="s">
        <v>467</v>
      </c>
      <c r="C10" s="349">
        <v>168</v>
      </c>
      <c r="D10" s="333">
        <v>0</v>
      </c>
      <c r="E10" s="333">
        <v>1</v>
      </c>
      <c r="F10" s="333">
        <v>1</v>
      </c>
      <c r="G10" s="333">
        <v>1</v>
      </c>
      <c r="H10" s="333">
        <v>1</v>
      </c>
      <c r="I10" s="333">
        <v>5</v>
      </c>
      <c r="J10" s="333">
        <v>0</v>
      </c>
      <c r="K10" s="861">
        <f t="shared" si="0"/>
        <v>177</v>
      </c>
      <c r="L10" s="862">
        <f>K10/$K$16%</f>
        <v>13.542463657230298</v>
      </c>
      <c r="M10" s="337" t="s">
        <v>466</v>
      </c>
      <c r="N10" s="1012" t="s">
        <v>470</v>
      </c>
      <c r="O10" s="313"/>
    </row>
    <row r="11" spans="1:15" ht="25.5" customHeight="1" thickBot="1">
      <c r="A11" s="1018"/>
      <c r="B11" s="342" t="s">
        <v>465</v>
      </c>
      <c r="C11" s="349">
        <v>0</v>
      </c>
      <c r="D11" s="333">
        <v>0</v>
      </c>
      <c r="E11" s="333">
        <v>2</v>
      </c>
      <c r="F11" s="333">
        <v>3</v>
      </c>
      <c r="G11" s="333">
        <v>4</v>
      </c>
      <c r="H11" s="333">
        <v>5</v>
      </c>
      <c r="I11" s="333">
        <v>37</v>
      </c>
      <c r="J11" s="333">
        <v>0</v>
      </c>
      <c r="K11" s="861">
        <f t="shared" si="0"/>
        <v>51</v>
      </c>
      <c r="L11" s="863">
        <f>K11/$K$17%</f>
        <v>21.161825726141078</v>
      </c>
      <c r="M11" s="337" t="s">
        <v>464</v>
      </c>
      <c r="N11" s="1012"/>
      <c r="O11" s="313"/>
    </row>
    <row r="12" spans="1:15" ht="25.5" customHeight="1" thickBot="1">
      <c r="A12" s="1017" t="s">
        <v>460</v>
      </c>
      <c r="B12" s="341" t="s">
        <v>467</v>
      </c>
      <c r="C12" s="348">
        <v>72</v>
      </c>
      <c r="D12" s="332">
        <v>0</v>
      </c>
      <c r="E12" s="332">
        <v>0</v>
      </c>
      <c r="F12" s="332">
        <v>1</v>
      </c>
      <c r="G12" s="332">
        <v>1</v>
      </c>
      <c r="H12" s="332">
        <v>0</v>
      </c>
      <c r="I12" s="332">
        <v>2</v>
      </c>
      <c r="J12" s="332">
        <v>0</v>
      </c>
      <c r="K12" s="519">
        <f t="shared" si="0"/>
        <v>76</v>
      </c>
      <c r="L12" s="727">
        <f>K12/$K$16%</f>
        <v>5.8148431522570769</v>
      </c>
      <c r="M12" s="336" t="s">
        <v>466</v>
      </c>
      <c r="N12" s="1013" t="s">
        <v>469</v>
      </c>
      <c r="O12" s="313"/>
    </row>
    <row r="13" spans="1:15" ht="25.5" customHeight="1" thickBot="1">
      <c r="A13" s="1017"/>
      <c r="B13" s="341" t="s">
        <v>465</v>
      </c>
      <c r="C13" s="348">
        <v>0</v>
      </c>
      <c r="D13" s="332">
        <v>0</v>
      </c>
      <c r="E13" s="332">
        <v>0</v>
      </c>
      <c r="F13" s="332">
        <v>3</v>
      </c>
      <c r="G13" s="332">
        <v>4</v>
      </c>
      <c r="H13" s="332">
        <v>0</v>
      </c>
      <c r="I13" s="332">
        <v>25</v>
      </c>
      <c r="J13" s="332">
        <v>0</v>
      </c>
      <c r="K13" s="519">
        <f t="shared" si="0"/>
        <v>32</v>
      </c>
      <c r="L13" s="728">
        <f>K13/$K$17%</f>
        <v>13.278008298755186</v>
      </c>
      <c r="M13" s="336" t="s">
        <v>464</v>
      </c>
      <c r="N13" s="1013"/>
    </row>
    <row r="14" spans="1:15" ht="25.5" customHeight="1" thickBot="1">
      <c r="A14" s="1018" t="s">
        <v>459</v>
      </c>
      <c r="B14" s="342" t="s">
        <v>467</v>
      </c>
      <c r="C14" s="349">
        <v>403</v>
      </c>
      <c r="D14" s="333">
        <v>2</v>
      </c>
      <c r="E14" s="333">
        <v>4</v>
      </c>
      <c r="F14" s="333">
        <v>5</v>
      </c>
      <c r="G14" s="333">
        <v>5</v>
      </c>
      <c r="H14" s="333">
        <v>5</v>
      </c>
      <c r="I14" s="333">
        <v>0</v>
      </c>
      <c r="J14" s="333">
        <v>0</v>
      </c>
      <c r="K14" s="861">
        <f t="shared" si="0"/>
        <v>424</v>
      </c>
      <c r="L14" s="862">
        <f>K14/$K$16%</f>
        <v>32.440703902065799</v>
      </c>
      <c r="M14" s="337" t="s">
        <v>466</v>
      </c>
      <c r="N14" s="1012" t="s">
        <v>468</v>
      </c>
    </row>
    <row r="15" spans="1:15" ht="25.5" customHeight="1">
      <c r="A15" s="1019"/>
      <c r="B15" s="343" t="s">
        <v>465</v>
      </c>
      <c r="C15" s="350">
        <v>0</v>
      </c>
      <c r="D15" s="334">
        <v>2</v>
      </c>
      <c r="E15" s="334">
        <v>8</v>
      </c>
      <c r="F15" s="334">
        <v>15</v>
      </c>
      <c r="G15" s="334">
        <v>20</v>
      </c>
      <c r="H15" s="334">
        <v>25</v>
      </c>
      <c r="I15" s="334">
        <v>0</v>
      </c>
      <c r="J15" s="334">
        <v>0</v>
      </c>
      <c r="K15" s="864">
        <f t="shared" si="0"/>
        <v>70</v>
      </c>
      <c r="L15" s="865">
        <f>K15/$K$17%</f>
        <v>29.045643153526971</v>
      </c>
      <c r="M15" s="338" t="s">
        <v>464</v>
      </c>
      <c r="N15" s="1014"/>
    </row>
    <row r="16" spans="1:15" ht="22.5" customHeight="1" thickBot="1">
      <c r="A16" s="1010" t="s">
        <v>354</v>
      </c>
      <c r="B16" s="340" t="s">
        <v>467</v>
      </c>
      <c r="C16" s="531">
        <f>C8+C10+C12+C14</f>
        <v>1253</v>
      </c>
      <c r="D16" s="531">
        <f t="shared" ref="D16:K16" si="1">D8+D10+D12+D14</f>
        <v>8</v>
      </c>
      <c r="E16" s="531">
        <f t="shared" si="1"/>
        <v>5</v>
      </c>
      <c r="F16" s="531">
        <f t="shared" si="1"/>
        <v>11</v>
      </c>
      <c r="G16" s="531">
        <f t="shared" si="1"/>
        <v>9</v>
      </c>
      <c r="H16" s="531">
        <f t="shared" si="1"/>
        <v>8</v>
      </c>
      <c r="I16" s="531">
        <f t="shared" si="1"/>
        <v>13</v>
      </c>
      <c r="J16" s="531">
        <f t="shared" si="1"/>
        <v>0</v>
      </c>
      <c r="K16" s="531">
        <f t="shared" si="1"/>
        <v>1307</v>
      </c>
      <c r="L16" s="531">
        <f t="shared" ref="L16" si="2">L8+L10+L12+L14</f>
        <v>100</v>
      </c>
      <c r="M16" s="335" t="s">
        <v>466</v>
      </c>
      <c r="N16" s="1009" t="s">
        <v>22</v>
      </c>
    </row>
    <row r="17" spans="1:14" ht="22.5" customHeight="1">
      <c r="A17" s="1011"/>
      <c r="B17" s="344" t="s">
        <v>465</v>
      </c>
      <c r="C17" s="866">
        <f>C9+C11+C13+C15</f>
        <v>0</v>
      </c>
      <c r="D17" s="867">
        <f t="shared" ref="D17:K17" si="3">D9+D11+D13+D15</f>
        <v>8</v>
      </c>
      <c r="E17" s="867">
        <f t="shared" si="3"/>
        <v>10</v>
      </c>
      <c r="F17" s="867">
        <f t="shared" si="3"/>
        <v>33</v>
      </c>
      <c r="G17" s="867">
        <f t="shared" si="3"/>
        <v>36</v>
      </c>
      <c r="H17" s="867">
        <f t="shared" si="3"/>
        <v>40</v>
      </c>
      <c r="I17" s="867">
        <f t="shared" si="3"/>
        <v>114</v>
      </c>
      <c r="J17" s="867">
        <f t="shared" si="3"/>
        <v>0</v>
      </c>
      <c r="K17" s="867">
        <f t="shared" si="3"/>
        <v>241</v>
      </c>
      <c r="L17" s="867">
        <f t="shared" ref="L17" si="4">L9+L11+L13+L15</f>
        <v>99.999999999999986</v>
      </c>
      <c r="M17" s="339" t="s">
        <v>464</v>
      </c>
      <c r="N17" s="996"/>
    </row>
    <row r="18" spans="1:14">
      <c r="A18" s="93" t="s">
        <v>908</v>
      </c>
      <c r="C18" s="1"/>
      <c r="D18" s="1"/>
      <c r="E18" s="1"/>
      <c r="F18" s="1"/>
      <c r="G18" s="1"/>
      <c r="H18" s="1"/>
      <c r="I18" s="1"/>
      <c r="J18" s="1"/>
      <c r="K18" s="1"/>
      <c r="L18" s="1"/>
      <c r="N18" s="1" t="s">
        <v>932</v>
      </c>
    </row>
    <row r="21" spans="1:14">
      <c r="A21" s="1"/>
      <c r="B21" s="1"/>
    </row>
    <row r="22" spans="1:14" ht="26.25" thickBot="1">
      <c r="A22" s="1"/>
      <c r="B22" s="74" t="s">
        <v>463</v>
      </c>
    </row>
    <row r="23" spans="1:14" ht="75.75" thickBot="1">
      <c r="A23" s="137" t="s">
        <v>940</v>
      </c>
      <c r="B23" s="182">
        <f>K8</f>
        <v>630</v>
      </c>
      <c r="C23" s="1"/>
    </row>
    <row r="24" spans="1:14" ht="90.75" thickBot="1">
      <c r="A24" s="137" t="s">
        <v>941</v>
      </c>
      <c r="B24" s="1">
        <f>K10</f>
        <v>177</v>
      </c>
      <c r="C24" s="74" t="s">
        <v>936</v>
      </c>
    </row>
    <row r="25" spans="1:14" ht="75.75" thickBot="1">
      <c r="A25" s="137" t="s">
        <v>942</v>
      </c>
      <c r="B25" s="1">
        <f>K12</f>
        <v>76</v>
      </c>
      <c r="C25" s="1">
        <f>K9</f>
        <v>88</v>
      </c>
    </row>
    <row r="26" spans="1:14" ht="90">
      <c r="A26" s="137" t="s">
        <v>943</v>
      </c>
      <c r="B26" s="1">
        <f>K14</f>
        <v>424</v>
      </c>
      <c r="C26" s="1">
        <f>K11</f>
        <v>51</v>
      </c>
    </row>
    <row r="27" spans="1:14">
      <c r="C27" s="1">
        <f>K13</f>
        <v>32</v>
      </c>
    </row>
    <row r="28" spans="1:14">
      <c r="C28" s="1">
        <f>K15</f>
        <v>70</v>
      </c>
    </row>
  </sheetData>
  <mergeCells count="20">
    <mergeCell ref="A8:A9"/>
    <mergeCell ref="N8:N9"/>
    <mergeCell ref="A1:N1"/>
    <mergeCell ref="A2:N2"/>
    <mergeCell ref="A3:N3"/>
    <mergeCell ref="A4:N4"/>
    <mergeCell ref="A6:A7"/>
    <mergeCell ref="B6:B7"/>
    <mergeCell ref="C6:K6"/>
    <mergeCell ref="M6:M7"/>
    <mergeCell ref="N6:N7"/>
    <mergeCell ref="L6:L7"/>
    <mergeCell ref="A16:A17"/>
    <mergeCell ref="N16:N17"/>
    <mergeCell ref="A10:A11"/>
    <mergeCell ref="N10:N11"/>
    <mergeCell ref="A12:A13"/>
    <mergeCell ref="N12:N13"/>
    <mergeCell ref="A14:A15"/>
    <mergeCell ref="N14:N15"/>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3:M33"/>
  <sheetViews>
    <sheetView rightToLeft="1" view="pageBreakPreview" zoomScaleNormal="100" zoomScaleSheetLayoutView="100" workbookViewId="0">
      <selection activeCell="P21" sqref="P21"/>
    </sheetView>
  </sheetViews>
  <sheetFormatPr defaultColWidth="9.140625" defaultRowHeight="12.75"/>
  <cols>
    <col min="1" max="16384" width="9.140625" style="1"/>
  </cols>
  <sheetData>
    <row r="33" spans="1:13" ht="15.75">
      <c r="A33" s="945" t="s">
        <v>606</v>
      </c>
      <c r="B33" s="945"/>
      <c r="C33" s="945"/>
      <c r="D33" s="945"/>
      <c r="E33" s="945"/>
      <c r="F33" s="945"/>
      <c r="G33" s="945"/>
      <c r="H33" s="945"/>
      <c r="I33" s="945"/>
      <c r="J33" s="945"/>
      <c r="K33" s="945"/>
      <c r="L33" s="945"/>
      <c r="M33" s="945"/>
    </row>
  </sheetData>
  <mergeCells count="1">
    <mergeCell ref="A33:M33"/>
  </mergeCells>
  <printOptions horizontalCentered="1" verticalCentered="1"/>
  <pageMargins left="0" right="0" top="0" bottom="0" header="0" footer="0"/>
  <pageSetup paperSize="9" orientation="landscape"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rightToLeft="1" view="pageBreakPreview" topLeftCell="A4" zoomScaleNormal="75" zoomScaleSheetLayoutView="100" workbookViewId="0">
      <selection activeCell="A20" sqref="A20:XFD20"/>
    </sheetView>
  </sheetViews>
  <sheetFormatPr defaultColWidth="9.140625" defaultRowHeight="12.75"/>
  <cols>
    <col min="1" max="1" width="20" style="160" customWidth="1"/>
    <col min="2" max="11" width="10.28515625" style="1" customWidth="1"/>
    <col min="12" max="12" width="20.7109375" style="160" customWidth="1"/>
    <col min="13" max="16384" width="9.140625" style="1"/>
  </cols>
  <sheetData>
    <row r="1" spans="1:12" s="2" customFormat="1" ht="24" customHeight="1">
      <c r="A1" s="934" t="s">
        <v>34</v>
      </c>
      <c r="B1" s="934"/>
      <c r="C1" s="934"/>
      <c r="D1" s="934"/>
      <c r="E1" s="934"/>
      <c r="F1" s="934"/>
      <c r="G1" s="934"/>
      <c r="H1" s="934"/>
      <c r="I1" s="934"/>
      <c r="J1" s="934"/>
      <c r="K1" s="934"/>
      <c r="L1" s="934"/>
    </row>
    <row r="2" spans="1:12" s="3" customFormat="1" ht="36" customHeight="1">
      <c r="A2" s="958" t="s">
        <v>986</v>
      </c>
      <c r="B2" s="958"/>
      <c r="C2" s="958"/>
      <c r="D2" s="958"/>
      <c r="E2" s="958"/>
      <c r="F2" s="958"/>
      <c r="G2" s="958"/>
      <c r="H2" s="958"/>
      <c r="I2" s="958"/>
      <c r="J2" s="958"/>
      <c r="K2" s="958"/>
      <c r="L2" s="958"/>
    </row>
    <row r="3" spans="1:12" s="2" customFormat="1" ht="15.75">
      <c r="A3" s="959">
        <v>2015</v>
      </c>
      <c r="B3" s="959"/>
      <c r="C3" s="959"/>
      <c r="D3" s="959"/>
      <c r="E3" s="959"/>
      <c r="F3" s="959"/>
      <c r="G3" s="959"/>
      <c r="H3" s="959"/>
      <c r="I3" s="959"/>
      <c r="J3" s="959"/>
      <c r="K3" s="959"/>
      <c r="L3" s="959"/>
    </row>
    <row r="4" spans="1:12" s="2" customFormat="1" ht="15.75">
      <c r="A4" s="959"/>
      <c r="B4" s="959"/>
      <c r="C4" s="959"/>
      <c r="D4" s="959"/>
      <c r="E4" s="959"/>
      <c r="F4" s="959"/>
      <c r="G4" s="959"/>
      <c r="H4" s="959"/>
      <c r="I4" s="959"/>
      <c r="J4" s="959"/>
      <c r="K4" s="959"/>
      <c r="L4" s="959"/>
    </row>
    <row r="5" spans="1:12" ht="15.75">
      <c r="A5" s="655" t="s">
        <v>828</v>
      </c>
      <c r="B5" s="652"/>
      <c r="C5" s="652"/>
      <c r="D5" s="652"/>
      <c r="E5" s="652"/>
      <c r="F5" s="652"/>
      <c r="G5" s="652"/>
      <c r="H5" s="652"/>
      <c r="I5" s="652"/>
      <c r="J5" s="652"/>
      <c r="K5" s="652"/>
      <c r="L5" s="656" t="s">
        <v>829</v>
      </c>
    </row>
    <row r="6" spans="1:12" ht="63.75" customHeight="1">
      <c r="A6" s="1073" t="s">
        <v>610</v>
      </c>
      <c r="B6" s="1077" t="s">
        <v>780</v>
      </c>
      <c r="C6" s="1078"/>
      <c r="D6" s="1077" t="s">
        <v>781</v>
      </c>
      <c r="E6" s="1078"/>
      <c r="F6" s="1077" t="s">
        <v>782</v>
      </c>
      <c r="G6" s="1078"/>
      <c r="H6" s="1077" t="s">
        <v>783</v>
      </c>
      <c r="I6" s="1078"/>
      <c r="J6" s="1079" t="s">
        <v>784</v>
      </c>
      <c r="K6" s="1080"/>
      <c r="L6" s="1075" t="s">
        <v>609</v>
      </c>
    </row>
    <row r="7" spans="1:12" ht="41.25">
      <c r="A7" s="1074"/>
      <c r="B7" s="303" t="s">
        <v>608</v>
      </c>
      <c r="C7" s="303" t="s">
        <v>607</v>
      </c>
      <c r="D7" s="303" t="s">
        <v>608</v>
      </c>
      <c r="E7" s="303" t="s">
        <v>607</v>
      </c>
      <c r="F7" s="303" t="s">
        <v>608</v>
      </c>
      <c r="G7" s="303" t="s">
        <v>607</v>
      </c>
      <c r="H7" s="303" t="s">
        <v>608</v>
      </c>
      <c r="I7" s="303" t="s">
        <v>607</v>
      </c>
      <c r="J7" s="303" t="s">
        <v>608</v>
      </c>
      <c r="K7" s="303" t="s">
        <v>607</v>
      </c>
      <c r="L7" s="1076"/>
    </row>
    <row r="8" spans="1:12" ht="18.75" customHeight="1" thickBot="1">
      <c r="A8" s="162" t="s">
        <v>536</v>
      </c>
      <c r="B8" s="84">
        <v>0</v>
      </c>
      <c r="C8" s="84">
        <v>165</v>
      </c>
      <c r="D8" s="84">
        <v>0</v>
      </c>
      <c r="E8" s="84">
        <v>33</v>
      </c>
      <c r="F8" s="84">
        <v>0</v>
      </c>
      <c r="G8" s="84">
        <v>17</v>
      </c>
      <c r="H8" s="84">
        <v>0</v>
      </c>
      <c r="I8" s="84">
        <v>81</v>
      </c>
      <c r="J8" s="83">
        <f>Table_Default__XLS_TAB_43[[#This Row],[CAT_4_SON_CNT]]+Table_Default__XLS_TAB_43[[#This Row],[CAT_3_SON_CNT]]+Table_Default__XLS_TAB_43[[#This Row],[CAT_2_SON_CNT]]+Table_Default__XLS_TAB_43[[#This Row],[CAT_1_SON_CNT]]</f>
        <v>0</v>
      </c>
      <c r="K8" s="83">
        <f>Table_Default__XLS_TAB_43[[#This Row],[CAT_4_CASE_CNT]]+Table_Default__XLS_TAB_43[[#This Row],[CAT_3_CASE_CNT]]+Table_Default__XLS_TAB_43[[#This Row],[CAT_2_CASE_CNT]]+Table_Default__XLS_TAB_43[[#This Row],[CAT_1_CASE_CNT]]</f>
        <v>296</v>
      </c>
      <c r="L8" s="161" t="s">
        <v>535</v>
      </c>
    </row>
    <row r="9" spans="1:12" ht="18.75" customHeight="1" thickBot="1">
      <c r="A9" s="213" t="s">
        <v>754</v>
      </c>
      <c r="B9" s="396">
        <v>0</v>
      </c>
      <c r="C9" s="396">
        <v>56</v>
      </c>
      <c r="D9" s="396">
        <v>0</v>
      </c>
      <c r="E9" s="396">
        <v>27</v>
      </c>
      <c r="F9" s="396">
        <v>0</v>
      </c>
      <c r="G9" s="396">
        <v>12</v>
      </c>
      <c r="H9" s="396">
        <v>0</v>
      </c>
      <c r="I9" s="396">
        <v>46</v>
      </c>
      <c r="J9" s="83">
        <f>Table_Default__XLS_TAB_43[[#This Row],[CAT_4_SON_CNT]]+Table_Default__XLS_TAB_43[[#This Row],[CAT_3_SON_CNT]]+Table_Default__XLS_TAB_43[[#This Row],[CAT_2_SON_CNT]]+Table_Default__XLS_TAB_43[[#This Row],[CAT_1_SON_CNT]]</f>
        <v>0</v>
      </c>
      <c r="K9" s="83">
        <f>Table_Default__XLS_TAB_43[[#This Row],[CAT_4_CASE_CNT]]+Table_Default__XLS_TAB_43[[#This Row],[CAT_3_CASE_CNT]]+Table_Default__XLS_TAB_43[[#This Row],[CAT_2_CASE_CNT]]+Table_Default__XLS_TAB_43[[#This Row],[CAT_1_CASE_CNT]]</f>
        <v>141</v>
      </c>
      <c r="L9" s="214" t="s">
        <v>754</v>
      </c>
    </row>
    <row r="10" spans="1:12" ht="18.75" customHeight="1" thickBot="1">
      <c r="A10" s="213" t="s">
        <v>755</v>
      </c>
      <c r="B10" s="396">
        <v>2</v>
      </c>
      <c r="C10" s="396">
        <v>71</v>
      </c>
      <c r="D10" s="396">
        <v>13</v>
      </c>
      <c r="E10" s="396">
        <v>29</v>
      </c>
      <c r="F10" s="396">
        <v>4</v>
      </c>
      <c r="G10" s="396">
        <v>8</v>
      </c>
      <c r="H10" s="396">
        <v>13</v>
      </c>
      <c r="I10" s="396">
        <v>42</v>
      </c>
      <c r="J10" s="83">
        <f>Table_Default__XLS_TAB_43[[#This Row],[CAT_4_SON_CNT]]+Table_Default__XLS_TAB_43[[#This Row],[CAT_3_SON_CNT]]+Table_Default__XLS_TAB_43[[#This Row],[CAT_2_SON_CNT]]+Table_Default__XLS_TAB_43[[#This Row],[CAT_1_SON_CNT]]</f>
        <v>32</v>
      </c>
      <c r="K10" s="83">
        <f>Table_Default__XLS_TAB_43[[#This Row],[CAT_4_CASE_CNT]]+Table_Default__XLS_TAB_43[[#This Row],[CAT_3_CASE_CNT]]+Table_Default__XLS_TAB_43[[#This Row],[CAT_2_CASE_CNT]]+Table_Default__XLS_TAB_43[[#This Row],[CAT_1_CASE_CNT]]</f>
        <v>150</v>
      </c>
      <c r="L10" s="214" t="s">
        <v>755</v>
      </c>
    </row>
    <row r="11" spans="1:12" ht="18.75" customHeight="1" thickBot="1">
      <c r="A11" s="213" t="s">
        <v>756</v>
      </c>
      <c r="B11" s="396">
        <v>0</v>
      </c>
      <c r="C11" s="396">
        <v>52</v>
      </c>
      <c r="D11" s="396">
        <v>0</v>
      </c>
      <c r="E11" s="396">
        <v>19</v>
      </c>
      <c r="F11" s="396">
        <v>0</v>
      </c>
      <c r="G11" s="396">
        <v>9</v>
      </c>
      <c r="H11" s="396">
        <v>4</v>
      </c>
      <c r="I11" s="396">
        <v>34</v>
      </c>
      <c r="J11" s="83">
        <f>Table_Default__XLS_TAB_43[[#This Row],[CAT_4_SON_CNT]]+Table_Default__XLS_TAB_43[[#This Row],[CAT_3_SON_CNT]]+Table_Default__XLS_TAB_43[[#This Row],[CAT_2_SON_CNT]]+Table_Default__XLS_TAB_43[[#This Row],[CAT_1_SON_CNT]]</f>
        <v>4</v>
      </c>
      <c r="K11" s="83">
        <f>Table_Default__XLS_TAB_43[[#This Row],[CAT_4_CASE_CNT]]+Table_Default__XLS_TAB_43[[#This Row],[CAT_3_CASE_CNT]]+Table_Default__XLS_TAB_43[[#This Row],[CAT_2_CASE_CNT]]+Table_Default__XLS_TAB_43[[#This Row],[CAT_1_CASE_CNT]]</f>
        <v>114</v>
      </c>
      <c r="L11" s="214" t="s">
        <v>756</v>
      </c>
    </row>
    <row r="12" spans="1:12" ht="18.75" customHeight="1" thickBot="1">
      <c r="A12" s="213" t="s">
        <v>647</v>
      </c>
      <c r="B12" s="396">
        <v>0</v>
      </c>
      <c r="C12" s="396">
        <v>31</v>
      </c>
      <c r="D12" s="396">
        <v>0</v>
      </c>
      <c r="E12" s="396">
        <v>11</v>
      </c>
      <c r="F12" s="396">
        <v>0</v>
      </c>
      <c r="G12" s="396">
        <v>5</v>
      </c>
      <c r="H12" s="396">
        <v>2</v>
      </c>
      <c r="I12" s="396">
        <v>34</v>
      </c>
      <c r="J12" s="83">
        <f>Table_Default__XLS_TAB_43[[#This Row],[CAT_4_SON_CNT]]+Table_Default__XLS_TAB_43[[#This Row],[CAT_3_SON_CNT]]+Table_Default__XLS_TAB_43[[#This Row],[CAT_2_SON_CNT]]+Table_Default__XLS_TAB_43[[#This Row],[CAT_1_SON_CNT]]</f>
        <v>2</v>
      </c>
      <c r="K12" s="83">
        <f>Table_Default__XLS_TAB_43[[#This Row],[CAT_4_CASE_CNT]]+Table_Default__XLS_TAB_43[[#This Row],[CAT_3_CASE_CNT]]+Table_Default__XLS_TAB_43[[#This Row],[CAT_2_CASE_CNT]]+Table_Default__XLS_TAB_43[[#This Row],[CAT_1_CASE_CNT]]</f>
        <v>81</v>
      </c>
      <c r="L12" s="214" t="s">
        <v>647</v>
      </c>
    </row>
    <row r="13" spans="1:12" ht="18.75" customHeight="1" thickBot="1">
      <c r="A13" s="213" t="s">
        <v>59</v>
      </c>
      <c r="B13" s="396">
        <v>0</v>
      </c>
      <c r="C13" s="396">
        <v>27</v>
      </c>
      <c r="D13" s="396">
        <v>6</v>
      </c>
      <c r="E13" s="396">
        <v>9</v>
      </c>
      <c r="F13" s="396">
        <v>10</v>
      </c>
      <c r="G13" s="396">
        <v>5</v>
      </c>
      <c r="H13" s="396">
        <v>4</v>
      </c>
      <c r="I13" s="396">
        <v>24</v>
      </c>
      <c r="J13" s="83">
        <f>Table_Default__XLS_TAB_43[[#This Row],[CAT_4_SON_CNT]]+Table_Default__XLS_TAB_43[[#This Row],[CAT_3_SON_CNT]]+Table_Default__XLS_TAB_43[[#This Row],[CAT_2_SON_CNT]]+Table_Default__XLS_TAB_43[[#This Row],[CAT_1_SON_CNT]]</f>
        <v>20</v>
      </c>
      <c r="K13" s="83">
        <f>Table_Default__XLS_TAB_43[[#This Row],[CAT_4_CASE_CNT]]+Table_Default__XLS_TAB_43[[#This Row],[CAT_3_CASE_CNT]]+Table_Default__XLS_TAB_43[[#This Row],[CAT_2_CASE_CNT]]+Table_Default__XLS_TAB_43[[#This Row],[CAT_1_CASE_CNT]]</f>
        <v>65</v>
      </c>
      <c r="L13" s="214" t="s">
        <v>59</v>
      </c>
    </row>
    <row r="14" spans="1:12" ht="18.75" customHeight="1" thickBot="1">
      <c r="A14" s="213" t="s">
        <v>533</v>
      </c>
      <c r="B14" s="396">
        <v>38</v>
      </c>
      <c r="C14" s="396">
        <v>83</v>
      </c>
      <c r="D14" s="396">
        <v>22</v>
      </c>
      <c r="E14" s="396">
        <v>34</v>
      </c>
      <c r="F14" s="396">
        <v>18</v>
      </c>
      <c r="G14" s="396">
        <v>9</v>
      </c>
      <c r="H14" s="396">
        <v>7</v>
      </c>
      <c r="I14" s="396">
        <v>77</v>
      </c>
      <c r="J14" s="83">
        <f>Table_Default__XLS_TAB_43[[#This Row],[CAT_4_SON_CNT]]+Table_Default__XLS_TAB_43[[#This Row],[CAT_3_SON_CNT]]+Table_Default__XLS_TAB_43[[#This Row],[CAT_2_SON_CNT]]+Table_Default__XLS_TAB_43[[#This Row],[CAT_1_SON_CNT]]</f>
        <v>85</v>
      </c>
      <c r="K14" s="83">
        <f>Table_Default__XLS_TAB_43[[#This Row],[CAT_4_CASE_CNT]]+Table_Default__XLS_TAB_43[[#This Row],[CAT_3_CASE_CNT]]+Table_Default__XLS_TAB_43[[#This Row],[CAT_2_CASE_CNT]]+Table_Default__XLS_TAB_43[[#This Row],[CAT_1_CASE_CNT]]</f>
        <v>203</v>
      </c>
      <c r="L14" s="214" t="s">
        <v>533</v>
      </c>
    </row>
    <row r="15" spans="1:12" ht="18.75" customHeight="1" thickBot="1">
      <c r="A15" s="213" t="s">
        <v>531</v>
      </c>
      <c r="B15" s="396">
        <v>13</v>
      </c>
      <c r="C15" s="396">
        <v>58</v>
      </c>
      <c r="D15" s="396">
        <v>0</v>
      </c>
      <c r="E15" s="396">
        <v>9</v>
      </c>
      <c r="F15" s="396">
        <v>0</v>
      </c>
      <c r="G15" s="396">
        <v>5</v>
      </c>
      <c r="H15" s="396">
        <v>0</v>
      </c>
      <c r="I15" s="396">
        <v>34</v>
      </c>
      <c r="J15" s="83">
        <f>Table_Default__XLS_TAB_43[[#This Row],[CAT_4_SON_CNT]]+Table_Default__XLS_TAB_43[[#This Row],[CAT_3_SON_CNT]]+Table_Default__XLS_TAB_43[[#This Row],[CAT_2_SON_CNT]]+Table_Default__XLS_TAB_43[[#This Row],[CAT_1_SON_CNT]]</f>
        <v>13</v>
      </c>
      <c r="K15" s="83">
        <f>Table_Default__XLS_TAB_43[[#This Row],[CAT_4_CASE_CNT]]+Table_Default__XLS_TAB_43[[#This Row],[CAT_3_CASE_CNT]]+Table_Default__XLS_TAB_43[[#This Row],[CAT_2_CASE_CNT]]+Table_Default__XLS_TAB_43[[#This Row],[CAT_1_CASE_CNT]]</f>
        <v>106</v>
      </c>
      <c r="L15" s="214" t="s">
        <v>531</v>
      </c>
    </row>
    <row r="16" spans="1:12" ht="18.75" customHeight="1" thickBot="1">
      <c r="A16" s="213" t="s">
        <v>276</v>
      </c>
      <c r="B16" s="396">
        <v>1</v>
      </c>
      <c r="C16" s="396">
        <v>26</v>
      </c>
      <c r="D16" s="396">
        <v>0</v>
      </c>
      <c r="E16" s="396">
        <v>2</v>
      </c>
      <c r="F16" s="396">
        <v>0</v>
      </c>
      <c r="G16" s="396">
        <v>2</v>
      </c>
      <c r="H16" s="396">
        <v>0</v>
      </c>
      <c r="I16" s="396">
        <v>29</v>
      </c>
      <c r="J16" s="83">
        <f>Table_Default__XLS_TAB_43[[#This Row],[CAT_4_SON_CNT]]+Table_Default__XLS_TAB_43[[#This Row],[CAT_3_SON_CNT]]+Table_Default__XLS_TAB_43[[#This Row],[CAT_2_SON_CNT]]+Table_Default__XLS_TAB_43[[#This Row],[CAT_1_SON_CNT]]</f>
        <v>1</v>
      </c>
      <c r="K16" s="83">
        <f>Table_Default__XLS_TAB_43[[#This Row],[CAT_4_CASE_CNT]]+Table_Default__XLS_TAB_43[[#This Row],[CAT_3_CASE_CNT]]+Table_Default__XLS_TAB_43[[#This Row],[CAT_2_CASE_CNT]]+Table_Default__XLS_TAB_43[[#This Row],[CAT_1_CASE_CNT]]</f>
        <v>59</v>
      </c>
      <c r="L16" s="214" t="s">
        <v>276</v>
      </c>
    </row>
    <row r="17" spans="1:12" ht="18.75" customHeight="1" thickBot="1">
      <c r="A17" s="213" t="s">
        <v>269</v>
      </c>
      <c r="B17" s="396">
        <v>0</v>
      </c>
      <c r="C17" s="396">
        <v>18</v>
      </c>
      <c r="D17" s="396">
        <v>0</v>
      </c>
      <c r="E17" s="396">
        <v>0</v>
      </c>
      <c r="F17" s="396">
        <v>0</v>
      </c>
      <c r="G17" s="396">
        <v>0</v>
      </c>
      <c r="H17" s="396">
        <v>0</v>
      </c>
      <c r="I17" s="396">
        <v>6</v>
      </c>
      <c r="J17" s="83">
        <f>Table_Default__XLS_TAB_43[[#This Row],[CAT_4_SON_CNT]]+Table_Default__XLS_TAB_43[[#This Row],[CAT_3_SON_CNT]]+Table_Default__XLS_TAB_43[[#This Row],[CAT_2_SON_CNT]]+Table_Default__XLS_TAB_43[[#This Row],[CAT_1_SON_CNT]]</f>
        <v>0</v>
      </c>
      <c r="K17" s="83">
        <f>Table_Default__XLS_TAB_43[[#This Row],[CAT_4_CASE_CNT]]+Table_Default__XLS_TAB_43[[#This Row],[CAT_3_CASE_CNT]]+Table_Default__XLS_TAB_43[[#This Row],[CAT_2_CASE_CNT]]+Table_Default__XLS_TAB_43[[#This Row],[CAT_1_CASE_CNT]]</f>
        <v>24</v>
      </c>
      <c r="L17" s="214" t="s">
        <v>269</v>
      </c>
    </row>
    <row r="18" spans="1:12" s="175" customFormat="1" ht="18.75" customHeight="1" thickBot="1">
      <c r="A18" s="213" t="s">
        <v>757</v>
      </c>
      <c r="B18" s="396">
        <v>3</v>
      </c>
      <c r="C18" s="396">
        <v>35</v>
      </c>
      <c r="D18" s="396">
        <v>0</v>
      </c>
      <c r="E18" s="396">
        <v>1</v>
      </c>
      <c r="F18" s="396">
        <v>0</v>
      </c>
      <c r="G18" s="396">
        <v>4</v>
      </c>
      <c r="H18" s="396">
        <v>0</v>
      </c>
      <c r="I18" s="396">
        <v>6</v>
      </c>
      <c r="J18" s="83">
        <f>Table_Default__XLS_TAB_43[[#This Row],[CAT_4_SON_CNT]]+Table_Default__XLS_TAB_43[[#This Row],[CAT_3_SON_CNT]]+Table_Default__XLS_TAB_43[[#This Row],[CAT_2_SON_CNT]]+Table_Default__XLS_TAB_43[[#This Row],[CAT_1_SON_CNT]]</f>
        <v>3</v>
      </c>
      <c r="K18" s="83">
        <f>Table_Default__XLS_TAB_43[[#This Row],[CAT_4_CASE_CNT]]+Table_Default__XLS_TAB_43[[#This Row],[CAT_3_CASE_CNT]]+Table_Default__XLS_TAB_43[[#This Row],[CAT_2_CASE_CNT]]+Table_Default__XLS_TAB_43[[#This Row],[CAT_1_CASE_CNT]]</f>
        <v>46</v>
      </c>
      <c r="L18" s="214" t="s">
        <v>757</v>
      </c>
    </row>
    <row r="19" spans="1:12" s="208" customFormat="1" ht="18.75" customHeight="1" thickBot="1">
      <c r="A19" s="215" t="s">
        <v>19</v>
      </c>
      <c r="B19" s="397">
        <v>31</v>
      </c>
      <c r="C19" s="397">
        <v>8</v>
      </c>
      <c r="D19" s="397">
        <v>10</v>
      </c>
      <c r="E19" s="397">
        <v>3</v>
      </c>
      <c r="F19" s="397">
        <v>0</v>
      </c>
      <c r="G19" s="397">
        <v>0</v>
      </c>
      <c r="H19" s="397">
        <v>40</v>
      </c>
      <c r="I19" s="397">
        <v>11</v>
      </c>
      <c r="J19" s="83">
        <f>Table_Default__XLS_TAB_43[[#This Row],[CAT_4_SON_CNT]]+Table_Default__XLS_TAB_43[[#This Row],[CAT_3_SON_CNT]]+Table_Default__XLS_TAB_43[[#This Row],[CAT_2_SON_CNT]]+Table_Default__XLS_TAB_43[[#This Row],[CAT_1_SON_CNT]]</f>
        <v>81</v>
      </c>
      <c r="K19" s="83">
        <f>Table_Default__XLS_TAB_43[[#This Row],[CAT_4_CASE_CNT]]+Table_Default__XLS_TAB_43[[#This Row],[CAT_3_CASE_CNT]]+Table_Default__XLS_TAB_43[[#This Row],[CAT_2_CASE_CNT]]+Table_Default__XLS_TAB_43[[#This Row],[CAT_1_CASE_CNT]]</f>
        <v>22</v>
      </c>
      <c r="L19" s="216" t="s">
        <v>20</v>
      </c>
    </row>
    <row r="20" spans="1:12" ht="18.75" customHeight="1">
      <c r="A20" s="520" t="s">
        <v>354</v>
      </c>
      <c r="B20" s="521">
        <f>SUM(B8:B19)</f>
        <v>88</v>
      </c>
      <c r="C20" s="521">
        <f t="shared" ref="C20:K20" si="0">SUM(C8:C19)</f>
        <v>630</v>
      </c>
      <c r="D20" s="521">
        <f t="shared" si="0"/>
        <v>51</v>
      </c>
      <c r="E20" s="521">
        <f>SUM(E8:E19)</f>
        <v>177</v>
      </c>
      <c r="F20" s="521">
        <f t="shared" si="0"/>
        <v>32</v>
      </c>
      <c r="G20" s="521">
        <f t="shared" si="0"/>
        <v>76</v>
      </c>
      <c r="H20" s="521">
        <f t="shared" si="0"/>
        <v>70</v>
      </c>
      <c r="I20" s="521">
        <f t="shared" si="0"/>
        <v>424</v>
      </c>
      <c r="J20" s="521">
        <f t="shared" si="0"/>
        <v>241</v>
      </c>
      <c r="K20" s="521">
        <f t="shared" si="0"/>
        <v>1307</v>
      </c>
      <c r="L20" s="522" t="s">
        <v>22</v>
      </c>
    </row>
    <row r="21" spans="1:12">
      <c r="A21" s="93" t="s">
        <v>908</v>
      </c>
      <c r="L21" s="1" t="s">
        <v>932</v>
      </c>
    </row>
  </sheetData>
  <mergeCells count="11">
    <mergeCell ref="A1:L1"/>
    <mergeCell ref="A2:L2"/>
    <mergeCell ref="A3:L3"/>
    <mergeCell ref="A4:L4"/>
    <mergeCell ref="A6:A7"/>
    <mergeCell ref="L6:L7"/>
    <mergeCell ref="B6:C6"/>
    <mergeCell ref="D6:E6"/>
    <mergeCell ref="F6:G6"/>
    <mergeCell ref="H6:I6"/>
    <mergeCell ref="J6:K6"/>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rightToLeft="1" view="pageBreakPreview" zoomScaleNormal="75" zoomScaleSheetLayoutView="100" workbookViewId="0">
      <selection activeCell="G12" sqref="G12"/>
    </sheetView>
  </sheetViews>
  <sheetFormatPr defaultColWidth="9.140625" defaultRowHeight="12.75"/>
  <cols>
    <col min="1" max="1" width="28.28515625" style="160" customWidth="1"/>
    <col min="2" max="4" width="21.42578125" style="1" customWidth="1"/>
    <col min="5" max="5" width="28.28515625" style="160" customWidth="1"/>
    <col min="6" max="16384" width="9.140625" style="1"/>
  </cols>
  <sheetData>
    <row r="1" spans="1:5" s="2" customFormat="1" ht="24" customHeight="1">
      <c r="A1" s="934" t="s">
        <v>801</v>
      </c>
      <c r="B1" s="934"/>
      <c r="C1" s="934"/>
      <c r="D1" s="934"/>
      <c r="E1" s="934"/>
    </row>
    <row r="2" spans="1:5" s="3" customFormat="1" ht="36.75" customHeight="1">
      <c r="A2" s="958" t="s">
        <v>1267</v>
      </c>
      <c r="B2" s="958"/>
      <c r="C2" s="958"/>
      <c r="D2" s="958"/>
      <c r="E2" s="958"/>
    </row>
    <row r="3" spans="1:5" s="2" customFormat="1" ht="15.75">
      <c r="A3" s="959">
        <v>2015</v>
      </c>
      <c r="B3" s="959"/>
      <c r="C3" s="959"/>
      <c r="D3" s="959"/>
      <c r="E3" s="959"/>
    </row>
    <row r="4" spans="1:5" s="2" customFormat="1" ht="15.75">
      <c r="A4" s="959"/>
      <c r="B4" s="959"/>
      <c r="C4" s="959"/>
      <c r="D4" s="959"/>
      <c r="E4" s="959"/>
    </row>
    <row r="5" spans="1:5" ht="15.75">
      <c r="A5" s="655" t="s">
        <v>830</v>
      </c>
      <c r="B5" s="652"/>
      <c r="C5" s="652"/>
      <c r="D5" s="652"/>
      <c r="E5" s="656" t="s">
        <v>831</v>
      </c>
    </row>
    <row r="6" spans="1:5" ht="63.75" customHeight="1">
      <c r="A6" s="544" t="s">
        <v>465</v>
      </c>
      <c r="B6" s="545" t="s">
        <v>25</v>
      </c>
      <c r="C6" s="545" t="s">
        <v>26</v>
      </c>
      <c r="D6" s="545" t="s">
        <v>799</v>
      </c>
      <c r="E6" s="546" t="s">
        <v>800</v>
      </c>
    </row>
    <row r="7" spans="1:5" ht="21" customHeight="1" thickBot="1">
      <c r="A7" s="161" t="s">
        <v>977</v>
      </c>
      <c r="B7" s="665">
        <v>0</v>
      </c>
      <c r="C7" s="665">
        <v>0</v>
      </c>
      <c r="D7" s="717">
        <v>0</v>
      </c>
      <c r="E7" s="161" t="s">
        <v>977</v>
      </c>
    </row>
    <row r="8" spans="1:5" ht="21" customHeight="1" thickBot="1">
      <c r="A8" s="666" t="s">
        <v>755</v>
      </c>
      <c r="B8" s="665">
        <v>6</v>
      </c>
      <c r="C8" s="665">
        <v>2</v>
      </c>
      <c r="D8" s="717">
        <v>8</v>
      </c>
      <c r="E8" s="666" t="s">
        <v>755</v>
      </c>
    </row>
    <row r="9" spans="1:5" ht="21" customHeight="1" thickBot="1">
      <c r="A9" s="666" t="s">
        <v>756</v>
      </c>
      <c r="B9" s="665">
        <v>0</v>
      </c>
      <c r="C9" s="665">
        <v>10</v>
      </c>
      <c r="D9" s="717">
        <v>10</v>
      </c>
      <c r="E9" s="666" t="s">
        <v>756</v>
      </c>
    </row>
    <row r="10" spans="1:5" ht="21" customHeight="1" thickBot="1">
      <c r="A10" s="666" t="s">
        <v>647</v>
      </c>
      <c r="B10" s="665">
        <v>15</v>
      </c>
      <c r="C10" s="665">
        <v>18</v>
      </c>
      <c r="D10" s="717">
        <v>33</v>
      </c>
      <c r="E10" s="666" t="s">
        <v>647</v>
      </c>
    </row>
    <row r="11" spans="1:5" ht="21" customHeight="1" thickBot="1">
      <c r="A11" s="666" t="s">
        <v>59</v>
      </c>
      <c r="B11" s="665">
        <v>12</v>
      </c>
      <c r="C11" s="665">
        <v>24</v>
      </c>
      <c r="D11" s="717">
        <v>36</v>
      </c>
      <c r="E11" s="666" t="s">
        <v>59</v>
      </c>
    </row>
    <row r="12" spans="1:5" ht="21" customHeight="1" thickBot="1">
      <c r="A12" s="666" t="s">
        <v>648</v>
      </c>
      <c r="B12" s="665">
        <v>10</v>
      </c>
      <c r="C12" s="665">
        <v>30</v>
      </c>
      <c r="D12" s="717">
        <v>40</v>
      </c>
      <c r="E12" s="666" t="s">
        <v>648</v>
      </c>
    </row>
    <row r="13" spans="1:5" ht="21" customHeight="1">
      <c r="A13" s="669" t="s">
        <v>978</v>
      </c>
      <c r="B13" s="668">
        <v>77</v>
      </c>
      <c r="C13" s="668">
        <v>37</v>
      </c>
      <c r="D13" s="868">
        <v>114</v>
      </c>
      <c r="E13" s="669" t="s">
        <v>979</v>
      </c>
    </row>
    <row r="14" spans="1:5" ht="21" customHeight="1">
      <c r="A14" s="570" t="s">
        <v>354</v>
      </c>
      <c r="B14" s="716">
        <f>SUM(B7:B13)</f>
        <v>120</v>
      </c>
      <c r="C14" s="716">
        <f>SUM(C7:C13)</f>
        <v>121</v>
      </c>
      <c r="D14" s="716">
        <f>SUM(D7:D13)</f>
        <v>241</v>
      </c>
      <c r="E14" s="571" t="s">
        <v>22</v>
      </c>
    </row>
    <row r="15" spans="1:5">
      <c r="A15" s="160" t="s">
        <v>1103</v>
      </c>
      <c r="E15" s="160" t="s">
        <v>1104</v>
      </c>
    </row>
  </sheetData>
  <mergeCells count="4">
    <mergeCell ref="A4:E4"/>
    <mergeCell ref="A1:E1"/>
    <mergeCell ref="A2:E2"/>
    <mergeCell ref="A3:E3"/>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rightToLeft="1" view="pageBreakPreview" zoomScaleNormal="75" zoomScaleSheetLayoutView="100" workbookViewId="0">
      <selection activeCell="A22" sqref="A22"/>
    </sheetView>
  </sheetViews>
  <sheetFormatPr defaultColWidth="9.140625" defaultRowHeight="12.75"/>
  <cols>
    <col min="1" max="1" width="43" style="160" customWidth="1"/>
    <col min="2" max="2" width="22.5703125" style="1" customWidth="1"/>
    <col min="3" max="3" width="27.7109375" style="1" customWidth="1"/>
    <col min="4" max="4" width="11.7109375" style="1" customWidth="1"/>
    <col min="5" max="5" width="20.85546875" style="160" customWidth="1"/>
    <col min="6" max="16384" width="9.140625" style="1"/>
  </cols>
  <sheetData>
    <row r="1" spans="1:5" s="2" customFormat="1" ht="24" customHeight="1">
      <c r="A1" s="1058" t="s">
        <v>802</v>
      </c>
      <c r="B1" s="1058"/>
      <c r="C1" s="1058"/>
      <c r="D1" s="1058"/>
      <c r="E1" s="1058"/>
    </row>
    <row r="2" spans="1:5" s="3" customFormat="1" ht="39.75" customHeight="1">
      <c r="A2" s="1081" t="s">
        <v>1268</v>
      </c>
      <c r="B2" s="1081"/>
      <c r="C2" s="1081"/>
      <c r="D2" s="1081"/>
      <c r="E2" s="1081"/>
    </row>
    <row r="3" spans="1:5" s="2" customFormat="1" ht="15.75">
      <c r="A3" s="1059">
        <v>2015</v>
      </c>
      <c r="B3" s="1059"/>
      <c r="C3" s="1059"/>
      <c r="D3" s="1059"/>
      <c r="E3" s="1059"/>
    </row>
    <row r="4" spans="1:5" s="2" customFormat="1" ht="15.75">
      <c r="A4" s="1059"/>
      <c r="B4" s="1059"/>
      <c r="C4" s="1059"/>
      <c r="D4" s="1059"/>
      <c r="E4" s="1059"/>
    </row>
    <row r="5" spans="1:5" ht="15.75">
      <c r="A5" s="164" t="s">
        <v>832</v>
      </c>
      <c r="B5" s="5"/>
      <c r="C5" s="5"/>
      <c r="D5" s="5"/>
      <c r="E5" s="163" t="s">
        <v>833</v>
      </c>
    </row>
    <row r="6" spans="1:5" ht="63.75" customHeight="1">
      <c r="A6" s="544" t="s">
        <v>465</v>
      </c>
      <c r="B6" s="545" t="s">
        <v>25</v>
      </c>
      <c r="C6" s="545" t="s">
        <v>26</v>
      </c>
      <c r="D6" s="545" t="s">
        <v>799</v>
      </c>
      <c r="E6" s="546" t="s">
        <v>800</v>
      </c>
    </row>
    <row r="7" spans="1:5" ht="21" customHeight="1" thickBot="1">
      <c r="A7" s="161" t="s">
        <v>977</v>
      </c>
      <c r="B7" s="84">
        <v>0</v>
      </c>
      <c r="C7" s="84">
        <v>0</v>
      </c>
      <c r="D7" s="717">
        <v>0</v>
      </c>
      <c r="E7" s="161" t="s">
        <v>977</v>
      </c>
    </row>
    <row r="8" spans="1:5" ht="21" customHeight="1" thickBot="1">
      <c r="A8" s="666" t="s">
        <v>755</v>
      </c>
      <c r="B8" s="665">
        <v>72</v>
      </c>
      <c r="C8" s="665">
        <v>91</v>
      </c>
      <c r="D8" s="717">
        <v>163</v>
      </c>
      <c r="E8" s="666" t="s">
        <v>755</v>
      </c>
    </row>
    <row r="9" spans="1:5" ht="21" customHeight="1" thickBot="1">
      <c r="A9" s="666" t="s">
        <v>756</v>
      </c>
      <c r="B9" s="665">
        <v>104</v>
      </c>
      <c r="C9" s="665">
        <v>126</v>
      </c>
      <c r="D9" s="717">
        <v>230</v>
      </c>
      <c r="E9" s="666" t="s">
        <v>756</v>
      </c>
    </row>
    <row r="10" spans="1:5" ht="21" customHeight="1" thickBot="1">
      <c r="A10" s="666" t="s">
        <v>647</v>
      </c>
      <c r="B10" s="665">
        <v>162</v>
      </c>
      <c r="C10" s="665">
        <v>132</v>
      </c>
      <c r="D10" s="717">
        <v>294</v>
      </c>
      <c r="E10" s="666" t="s">
        <v>647</v>
      </c>
    </row>
    <row r="11" spans="1:5" ht="21" customHeight="1" thickBot="1">
      <c r="A11" s="666" t="s">
        <v>59</v>
      </c>
      <c r="B11" s="665">
        <v>160</v>
      </c>
      <c r="C11" s="665">
        <v>64</v>
      </c>
      <c r="D11" s="717">
        <v>224</v>
      </c>
      <c r="E11" s="666" t="s">
        <v>59</v>
      </c>
    </row>
    <row r="12" spans="1:5" ht="21" customHeight="1" thickBot="1">
      <c r="A12" s="666" t="s">
        <v>648</v>
      </c>
      <c r="B12" s="665">
        <v>85</v>
      </c>
      <c r="C12" s="665">
        <v>40</v>
      </c>
      <c r="D12" s="717">
        <v>125</v>
      </c>
      <c r="E12" s="666" t="s">
        <v>648</v>
      </c>
    </row>
    <row r="13" spans="1:5" ht="21" customHeight="1">
      <c r="A13" s="669" t="s">
        <v>978</v>
      </c>
      <c r="B13" s="668">
        <v>315</v>
      </c>
      <c r="C13" s="668">
        <v>29</v>
      </c>
      <c r="D13" s="868">
        <v>344</v>
      </c>
      <c r="E13" s="669" t="s">
        <v>979</v>
      </c>
    </row>
    <row r="14" spans="1:5" ht="21" customHeight="1">
      <c r="A14" s="570" t="s">
        <v>354</v>
      </c>
      <c r="B14" s="716">
        <f>SUM(B7:B13)</f>
        <v>898</v>
      </c>
      <c r="C14" s="716">
        <f>SUM(C7:C13)</f>
        <v>482</v>
      </c>
      <c r="D14" s="716">
        <f>SUM(D7:D13)</f>
        <v>1380</v>
      </c>
      <c r="E14" s="571" t="s">
        <v>22</v>
      </c>
    </row>
    <row r="15" spans="1:5">
      <c r="A15" s="160" t="s">
        <v>1102</v>
      </c>
      <c r="E15" s="160" t="s">
        <v>1101</v>
      </c>
    </row>
  </sheetData>
  <mergeCells count="4">
    <mergeCell ref="A4:E4"/>
    <mergeCell ref="A1:E1"/>
    <mergeCell ref="A2:E2"/>
    <mergeCell ref="A3:E3"/>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60" zoomScaleNormal="100" workbookViewId="0">
      <selection activeCell="F4" sqref="F4"/>
    </sheetView>
  </sheetViews>
  <sheetFormatPr defaultColWidth="9.140625" defaultRowHeight="12.75"/>
  <cols>
    <col min="1" max="1" width="52.7109375" style="1" customWidth="1"/>
    <col min="2" max="16384" width="9.140625" style="1"/>
  </cols>
  <sheetData/>
  <printOptions horizontalCentered="1" verticalCentered="1"/>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0"/>
  <sheetViews>
    <sheetView rightToLeft="1" view="pageBreakPreview" zoomScaleNormal="100" zoomScaleSheetLayoutView="100" workbookViewId="0">
      <selection activeCell="N8" sqref="N8"/>
    </sheetView>
  </sheetViews>
  <sheetFormatPr defaultRowHeight="15"/>
  <cols>
    <col min="3" max="3" width="20.5703125" customWidth="1"/>
    <col min="5" max="5" width="3.140625" customWidth="1"/>
    <col min="6" max="6" width="25.7109375" customWidth="1"/>
    <col min="7" max="7" width="16.7109375" customWidth="1"/>
  </cols>
  <sheetData>
    <row r="1" spans="1:26" s="165" customFormat="1" ht="69" customHeight="1">
      <c r="A1" s="1087" t="s">
        <v>913</v>
      </c>
      <c r="B1" s="1088"/>
      <c r="C1" s="1088"/>
      <c r="D1" s="1088"/>
      <c r="E1" s="1088"/>
      <c r="F1" s="1088"/>
      <c r="G1" s="1088"/>
      <c r="H1" s="1088"/>
      <c r="I1" s="555"/>
      <c r="J1" s="555"/>
      <c r="K1" s="555"/>
      <c r="L1" s="555"/>
      <c r="M1" s="555"/>
      <c r="N1" s="555"/>
      <c r="O1" s="555"/>
      <c r="P1" s="555"/>
      <c r="Q1" s="555"/>
      <c r="R1" s="555"/>
      <c r="S1" s="555"/>
      <c r="T1" s="555"/>
      <c r="U1" s="555"/>
      <c r="V1" s="555"/>
      <c r="W1" s="555"/>
      <c r="X1" s="555"/>
      <c r="Y1" s="555"/>
      <c r="Z1" s="555"/>
    </row>
    <row r="4" spans="1:26" ht="15.75" thickBot="1"/>
    <row r="5" spans="1:26" ht="15.75" thickBot="1">
      <c r="A5" s="1082" t="s">
        <v>723</v>
      </c>
      <c r="B5" s="1082"/>
      <c r="C5" s="551" t="s">
        <v>705</v>
      </c>
      <c r="F5" s="168" t="s">
        <v>217</v>
      </c>
      <c r="G5" s="1089" t="s">
        <v>699</v>
      </c>
      <c r="H5" s="1089"/>
    </row>
    <row r="6" spans="1:26" ht="15.75" thickBot="1">
      <c r="A6" s="1082"/>
      <c r="B6" s="1082"/>
      <c r="C6" s="551" t="s">
        <v>704</v>
      </c>
      <c r="F6" s="168" t="s">
        <v>144</v>
      </c>
      <c r="G6" s="1089"/>
      <c r="H6" s="1089"/>
    </row>
    <row r="7" spans="1:26" ht="15.75" customHeight="1" thickBot="1">
      <c r="A7" s="1082" t="s">
        <v>722</v>
      </c>
      <c r="B7" s="1082"/>
      <c r="C7" s="1082"/>
      <c r="F7" s="1089" t="s">
        <v>698</v>
      </c>
      <c r="G7" s="1089"/>
      <c r="H7" s="1089"/>
    </row>
    <row r="8" spans="1:26" ht="26.25" thickBot="1">
      <c r="A8" s="1082" t="s">
        <v>721</v>
      </c>
      <c r="B8" s="1082"/>
      <c r="C8" s="170" t="s">
        <v>703</v>
      </c>
      <c r="F8" s="167" t="s">
        <v>681</v>
      </c>
      <c r="G8" s="1089" t="s">
        <v>697</v>
      </c>
      <c r="H8" s="1089"/>
    </row>
    <row r="9" spans="1:26" ht="15.75" thickBot="1">
      <c r="A9" s="1082" t="s">
        <v>720</v>
      </c>
      <c r="B9" s="1083" t="s">
        <v>718</v>
      </c>
      <c r="C9" s="1083"/>
      <c r="F9" s="1084" t="s">
        <v>694</v>
      </c>
      <c r="G9" s="1084"/>
      <c r="H9" s="1090" t="s">
        <v>696</v>
      </c>
    </row>
    <row r="10" spans="1:26" ht="15.75" thickBot="1">
      <c r="A10" s="1082"/>
      <c r="B10" s="1083" t="s">
        <v>714</v>
      </c>
      <c r="C10" s="1083"/>
      <c r="F10" s="1084" t="s">
        <v>690</v>
      </c>
      <c r="G10" s="1084"/>
      <c r="H10" s="1090"/>
    </row>
    <row r="11" spans="1:26" ht="15.75" thickBot="1">
      <c r="A11" s="1082"/>
      <c r="B11" s="1083" t="s">
        <v>713</v>
      </c>
      <c r="C11" s="1083"/>
      <c r="F11" s="1084" t="s">
        <v>689</v>
      </c>
      <c r="G11" s="1084"/>
      <c r="H11" s="1090"/>
    </row>
    <row r="12" spans="1:26" ht="15.75" thickBot="1">
      <c r="A12" s="1082"/>
      <c r="B12" s="1083" t="s">
        <v>712</v>
      </c>
      <c r="C12" s="1083"/>
      <c r="F12" s="1084" t="s">
        <v>688</v>
      </c>
      <c r="G12" s="1084"/>
      <c r="H12" s="1090"/>
    </row>
    <row r="13" spans="1:26" ht="51.75" thickBot="1">
      <c r="A13" s="1082"/>
      <c r="B13" s="550" t="s">
        <v>711</v>
      </c>
      <c r="C13" s="170" t="s">
        <v>702</v>
      </c>
      <c r="F13" s="167" t="s">
        <v>680</v>
      </c>
      <c r="G13" s="552" t="s">
        <v>687</v>
      </c>
      <c r="H13" s="1090"/>
    </row>
    <row r="14" spans="1:26" ht="15.75" thickBot="1">
      <c r="A14" s="1082"/>
      <c r="B14" s="1082" t="s">
        <v>717</v>
      </c>
      <c r="C14" s="1082"/>
      <c r="F14" s="1089" t="s">
        <v>693</v>
      </c>
      <c r="G14" s="1089"/>
      <c r="H14" s="1090"/>
    </row>
    <row r="15" spans="1:26" ht="15.75" thickBot="1">
      <c r="A15" s="1082"/>
      <c r="B15" s="1082" t="s">
        <v>716</v>
      </c>
      <c r="C15" s="1082"/>
      <c r="F15" s="1089" t="s">
        <v>692</v>
      </c>
      <c r="G15" s="1089"/>
      <c r="H15" s="1090"/>
    </row>
    <row r="16" spans="1:26" ht="120.75" thickBot="1">
      <c r="A16" s="1082"/>
      <c r="B16" s="550" t="s">
        <v>709</v>
      </c>
      <c r="C16" s="556" t="s">
        <v>911</v>
      </c>
      <c r="F16" s="167" t="s">
        <v>912</v>
      </c>
      <c r="G16" s="552" t="s">
        <v>685</v>
      </c>
      <c r="H16" s="1090"/>
    </row>
    <row r="17" spans="1:8" ht="15.75" thickBot="1">
      <c r="A17" s="1082"/>
      <c r="B17" s="1083" t="s">
        <v>708</v>
      </c>
      <c r="C17" s="1083"/>
      <c r="F17" s="1084" t="s">
        <v>684</v>
      </c>
      <c r="G17" s="1084"/>
      <c r="H17" s="1090"/>
    </row>
    <row r="18" spans="1:8" ht="15.75" thickBot="1">
      <c r="A18" s="1082"/>
      <c r="B18" s="1083" t="s">
        <v>707</v>
      </c>
      <c r="C18" s="1083"/>
      <c r="F18" s="1084" t="s">
        <v>683</v>
      </c>
      <c r="G18" s="1084"/>
      <c r="H18" s="1090"/>
    </row>
    <row r="19" spans="1:8" ht="15.75" thickBot="1">
      <c r="A19" s="1082" t="s">
        <v>719</v>
      </c>
      <c r="B19" s="1083" t="s">
        <v>715</v>
      </c>
      <c r="C19" s="1083"/>
      <c r="F19" s="1084" t="s">
        <v>691</v>
      </c>
      <c r="G19" s="1084"/>
      <c r="H19" s="1090" t="s">
        <v>695</v>
      </c>
    </row>
    <row r="20" spans="1:8" ht="15.75" thickBot="1">
      <c r="A20" s="1082"/>
      <c r="B20" s="1083" t="s">
        <v>714</v>
      </c>
      <c r="C20" s="1083"/>
      <c r="F20" s="1084" t="s">
        <v>690</v>
      </c>
      <c r="G20" s="1084"/>
      <c r="H20" s="1090"/>
    </row>
    <row r="21" spans="1:8" ht="15.75" thickBot="1">
      <c r="A21" s="1082"/>
      <c r="B21" s="1083" t="s">
        <v>713</v>
      </c>
      <c r="C21" s="1083"/>
      <c r="F21" s="1084" t="s">
        <v>689</v>
      </c>
      <c r="G21" s="1084"/>
      <c r="H21" s="1090"/>
    </row>
    <row r="22" spans="1:8" ht="15.75" thickBot="1">
      <c r="A22" s="1082"/>
      <c r="B22" s="1083" t="s">
        <v>712</v>
      </c>
      <c r="C22" s="1083"/>
      <c r="F22" s="1084" t="s">
        <v>688</v>
      </c>
      <c r="G22" s="1084"/>
      <c r="H22" s="1090"/>
    </row>
    <row r="23" spans="1:8" ht="39" thickBot="1">
      <c r="A23" s="1082"/>
      <c r="B23" s="550" t="s">
        <v>711</v>
      </c>
      <c r="C23" s="170" t="s">
        <v>701</v>
      </c>
      <c r="F23" s="167" t="s">
        <v>679</v>
      </c>
      <c r="G23" s="169" t="s">
        <v>687</v>
      </c>
      <c r="H23" s="1090"/>
    </row>
    <row r="24" spans="1:8" ht="15.75" thickBot="1">
      <c r="A24" s="1082"/>
      <c r="B24" s="1082" t="s">
        <v>710</v>
      </c>
      <c r="C24" s="1082"/>
      <c r="F24" s="1089" t="s">
        <v>686</v>
      </c>
      <c r="G24" s="1089"/>
      <c r="H24" s="1090"/>
    </row>
    <row r="25" spans="1:8" ht="120.75" thickBot="1">
      <c r="A25" s="1082"/>
      <c r="B25" s="553" t="s">
        <v>709</v>
      </c>
      <c r="C25" s="556" t="s">
        <v>911</v>
      </c>
      <c r="F25" s="167" t="s">
        <v>912</v>
      </c>
      <c r="G25" s="554" t="s">
        <v>685</v>
      </c>
      <c r="H25" s="1090"/>
    </row>
    <row r="26" spans="1:8" ht="15.75" thickBot="1">
      <c r="A26" s="1082"/>
      <c r="B26" s="1085" t="s">
        <v>708</v>
      </c>
      <c r="C26" s="1086"/>
      <c r="F26" s="1091" t="s">
        <v>684</v>
      </c>
      <c r="G26" s="1092"/>
      <c r="H26" s="1090"/>
    </row>
    <row r="27" spans="1:8" ht="15.75" thickBot="1">
      <c r="A27" s="1082"/>
      <c r="B27" s="1083" t="s">
        <v>707</v>
      </c>
      <c r="C27" s="1083"/>
      <c r="F27" s="1084" t="s">
        <v>683</v>
      </c>
      <c r="G27" s="1084"/>
      <c r="H27" s="1090"/>
    </row>
    <row r="28" spans="1:8" ht="39" thickBot="1">
      <c r="A28" s="1082"/>
      <c r="B28" s="550" t="s">
        <v>706</v>
      </c>
      <c r="C28" s="170" t="s">
        <v>915</v>
      </c>
      <c r="F28" s="167" t="s">
        <v>678</v>
      </c>
      <c r="G28" s="552" t="s">
        <v>682</v>
      </c>
      <c r="H28" s="1090"/>
    </row>
    <row r="30" spans="1:8">
      <c r="A30" s="166" t="s">
        <v>724</v>
      </c>
      <c r="H30" t="s">
        <v>700</v>
      </c>
    </row>
  </sheetData>
  <mergeCells count="41">
    <mergeCell ref="A1:H1"/>
    <mergeCell ref="F7:H7"/>
    <mergeCell ref="G8:H8"/>
    <mergeCell ref="H19:H28"/>
    <mergeCell ref="F19:G19"/>
    <mergeCell ref="F20:G20"/>
    <mergeCell ref="F21:G21"/>
    <mergeCell ref="F22:G22"/>
    <mergeCell ref="F24:G24"/>
    <mergeCell ref="F26:G26"/>
    <mergeCell ref="F14:G14"/>
    <mergeCell ref="F15:G15"/>
    <mergeCell ref="F17:G17"/>
    <mergeCell ref="F18:G18"/>
    <mergeCell ref="G5:H6"/>
    <mergeCell ref="H9:H18"/>
    <mergeCell ref="F9:G9"/>
    <mergeCell ref="F10:G10"/>
    <mergeCell ref="F11:G11"/>
    <mergeCell ref="F12:G12"/>
    <mergeCell ref="A19:A28"/>
    <mergeCell ref="B19:C19"/>
    <mergeCell ref="B20:C20"/>
    <mergeCell ref="B21:C21"/>
    <mergeCell ref="B22:C22"/>
    <mergeCell ref="B24:C24"/>
    <mergeCell ref="B26:C26"/>
    <mergeCell ref="B27:C27"/>
    <mergeCell ref="F27:G27"/>
    <mergeCell ref="A5:B6"/>
    <mergeCell ref="A9:A18"/>
    <mergeCell ref="B9:C9"/>
    <mergeCell ref="B10:C10"/>
    <mergeCell ref="B11:C11"/>
    <mergeCell ref="B12:C12"/>
    <mergeCell ref="B14:C14"/>
    <mergeCell ref="B15:C15"/>
    <mergeCell ref="B17:C17"/>
    <mergeCell ref="B18:C18"/>
    <mergeCell ref="A8:B8"/>
    <mergeCell ref="A7:C7"/>
  </mergeCells>
  <printOptions horizontalCentered="1"/>
  <pageMargins left="0" right="0" top="0.74803149606299213" bottom="0" header="0" footer="0"/>
  <pageSetup paperSize="9" scale="90"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0"/>
  <sheetViews>
    <sheetView rightToLeft="1" view="pageBreakPreview" zoomScaleNormal="100" zoomScaleSheetLayoutView="100" workbookViewId="0">
      <selection activeCell="N15" sqref="N15"/>
    </sheetView>
  </sheetViews>
  <sheetFormatPr defaultRowHeight="15"/>
  <cols>
    <col min="3" max="3" width="20.5703125" customWidth="1"/>
    <col min="5" max="5" width="3.140625" customWidth="1"/>
    <col min="6" max="6" width="25.7109375" customWidth="1"/>
    <col min="7" max="7" width="16.7109375" customWidth="1"/>
  </cols>
  <sheetData>
    <row r="1" spans="1:28" s="165" customFormat="1" ht="69" customHeight="1">
      <c r="A1" s="1087" t="s">
        <v>914</v>
      </c>
      <c r="B1" s="1088"/>
      <c r="C1" s="1088"/>
      <c r="D1" s="1088"/>
      <c r="E1" s="1088"/>
      <c r="F1" s="1088"/>
      <c r="G1" s="1088"/>
      <c r="H1" s="1088"/>
      <c r="I1" s="555"/>
      <c r="J1" s="555"/>
      <c r="K1" s="555"/>
      <c r="L1" s="555"/>
      <c r="M1" s="555"/>
      <c r="N1" s="555"/>
      <c r="O1" s="555"/>
      <c r="P1" s="555"/>
      <c r="Q1" s="555"/>
      <c r="R1" s="555"/>
      <c r="S1" s="555"/>
      <c r="T1" s="555"/>
      <c r="U1" s="555"/>
      <c r="V1" s="555"/>
      <c r="W1" s="555"/>
      <c r="X1" s="555"/>
      <c r="Y1" s="555"/>
      <c r="Z1" s="555"/>
      <c r="AA1" s="555"/>
      <c r="AB1" s="555"/>
    </row>
    <row r="4" spans="1:28" ht="15.75" thickBot="1"/>
    <row r="5" spans="1:28" ht="15.75" thickBot="1">
      <c r="A5" s="1082" t="s">
        <v>734</v>
      </c>
      <c r="B5" s="1082"/>
      <c r="C5" s="551" t="s">
        <v>705</v>
      </c>
      <c r="F5" s="168" t="s">
        <v>217</v>
      </c>
      <c r="G5" s="1089" t="s">
        <v>743</v>
      </c>
      <c r="H5" s="1089"/>
    </row>
    <row r="6" spans="1:28" ht="15.75" thickBot="1">
      <c r="A6" s="1082"/>
      <c r="B6" s="1082"/>
      <c r="C6" s="551" t="s">
        <v>704</v>
      </c>
      <c r="F6" s="168" t="s">
        <v>144</v>
      </c>
      <c r="G6" s="1089"/>
      <c r="H6" s="1089"/>
    </row>
    <row r="7" spans="1:28" ht="15.75" customHeight="1" thickBot="1">
      <c r="A7" s="1082" t="s">
        <v>733</v>
      </c>
      <c r="B7" s="1082"/>
      <c r="C7" s="1082"/>
      <c r="F7" s="1089" t="s">
        <v>698</v>
      </c>
      <c r="G7" s="1089"/>
      <c r="H7" s="1089"/>
    </row>
    <row r="8" spans="1:28" ht="15.75" customHeight="1" thickBot="1">
      <c r="A8" s="1082" t="s">
        <v>732</v>
      </c>
      <c r="B8" s="1082"/>
      <c r="C8" s="1082"/>
      <c r="F8" s="1089" t="s">
        <v>742</v>
      </c>
      <c r="G8" s="1089"/>
      <c r="H8" s="1089"/>
    </row>
    <row r="9" spans="1:28" ht="65.25" customHeight="1" thickBot="1">
      <c r="A9" s="1082" t="s">
        <v>731</v>
      </c>
      <c r="B9" s="1082"/>
      <c r="C9" s="170" t="s">
        <v>725</v>
      </c>
      <c r="F9" s="167" t="s">
        <v>735</v>
      </c>
      <c r="G9" s="1089" t="s">
        <v>741</v>
      </c>
      <c r="H9" s="1089"/>
    </row>
    <row r="10" spans="1:28" ht="15.75" customHeight="1" thickBot="1">
      <c r="A10" s="1082" t="s">
        <v>720</v>
      </c>
      <c r="B10" s="1083" t="s">
        <v>718</v>
      </c>
      <c r="C10" s="1083"/>
      <c r="F10" s="1084" t="s">
        <v>740</v>
      </c>
      <c r="G10" s="1084"/>
      <c r="H10" s="1090" t="s">
        <v>696</v>
      </c>
    </row>
    <row r="11" spans="1:28" ht="15.75" customHeight="1" thickBot="1">
      <c r="A11" s="1082"/>
      <c r="B11" s="1083" t="s">
        <v>714</v>
      </c>
      <c r="C11" s="1083"/>
      <c r="F11" s="1084" t="s">
        <v>690</v>
      </c>
      <c r="G11" s="1084"/>
      <c r="H11" s="1090"/>
    </row>
    <row r="12" spans="1:28" ht="15.75" customHeight="1" thickBot="1">
      <c r="A12" s="1082"/>
      <c r="B12" s="1083" t="s">
        <v>713</v>
      </c>
      <c r="C12" s="1083"/>
      <c r="F12" s="1084" t="s">
        <v>689</v>
      </c>
      <c r="G12" s="1084"/>
      <c r="H12" s="1090"/>
    </row>
    <row r="13" spans="1:28" ht="15.75" customHeight="1" thickBot="1">
      <c r="A13" s="1082"/>
      <c r="B13" s="1083" t="s">
        <v>712</v>
      </c>
      <c r="C13" s="1083"/>
      <c r="F13" s="1084" t="s">
        <v>688</v>
      </c>
      <c r="G13" s="1084"/>
      <c r="H13" s="1090"/>
    </row>
    <row r="14" spans="1:28" ht="15.75" customHeight="1" thickBot="1">
      <c r="A14" s="1082"/>
      <c r="B14" s="1083" t="s">
        <v>730</v>
      </c>
      <c r="C14" s="1083"/>
      <c r="F14" s="1084" t="s">
        <v>739</v>
      </c>
      <c r="G14" s="1084"/>
      <c r="H14" s="1090"/>
    </row>
    <row r="15" spans="1:28" ht="120.75" thickBot="1">
      <c r="A15" s="1082"/>
      <c r="B15" s="553" t="s">
        <v>709</v>
      </c>
      <c r="C15" s="556" t="s">
        <v>911</v>
      </c>
      <c r="F15" s="167" t="s">
        <v>912</v>
      </c>
      <c r="G15" s="554" t="s">
        <v>685</v>
      </c>
      <c r="H15" s="1090"/>
    </row>
    <row r="16" spans="1:28" ht="15.75" customHeight="1" thickBot="1">
      <c r="A16" s="1082"/>
      <c r="B16" s="1083" t="s">
        <v>729</v>
      </c>
      <c r="C16" s="1083"/>
      <c r="F16" s="1084" t="s">
        <v>684</v>
      </c>
      <c r="G16" s="1084"/>
      <c r="H16" s="1090"/>
    </row>
    <row r="17" spans="1:8" ht="15.75" customHeight="1" thickBot="1">
      <c r="A17" s="1082"/>
      <c r="B17" s="1083" t="s">
        <v>707</v>
      </c>
      <c r="C17" s="1083"/>
      <c r="F17" s="1084" t="s">
        <v>683</v>
      </c>
      <c r="G17" s="1084"/>
      <c r="H17" s="1090"/>
    </row>
    <row r="18" spans="1:8" ht="15.75" customHeight="1" thickBot="1">
      <c r="A18" s="1082" t="s">
        <v>719</v>
      </c>
      <c r="B18" s="1083" t="s">
        <v>715</v>
      </c>
      <c r="C18" s="1083"/>
      <c r="F18" s="1084" t="s">
        <v>738</v>
      </c>
      <c r="G18" s="1084"/>
      <c r="H18" s="1090" t="s">
        <v>695</v>
      </c>
    </row>
    <row r="19" spans="1:8" ht="15.75" customHeight="1" thickBot="1">
      <c r="A19" s="1082"/>
      <c r="B19" s="1083" t="s">
        <v>714</v>
      </c>
      <c r="C19" s="1083"/>
      <c r="F19" s="1084" t="s">
        <v>690</v>
      </c>
      <c r="G19" s="1084"/>
      <c r="H19" s="1090"/>
    </row>
    <row r="20" spans="1:8" ht="15.75" customHeight="1" thickBot="1">
      <c r="A20" s="1082"/>
      <c r="B20" s="1083" t="s">
        <v>713</v>
      </c>
      <c r="C20" s="1083"/>
      <c r="F20" s="1084" t="s">
        <v>689</v>
      </c>
      <c r="G20" s="1084"/>
      <c r="H20" s="1090"/>
    </row>
    <row r="21" spans="1:8" ht="15.75" customHeight="1" thickBot="1">
      <c r="A21" s="1082"/>
      <c r="B21" s="1083" t="s">
        <v>712</v>
      </c>
      <c r="C21" s="1083"/>
      <c r="F21" s="1084" t="s">
        <v>688</v>
      </c>
      <c r="G21" s="1084"/>
      <c r="H21" s="1090"/>
    </row>
    <row r="22" spans="1:8" ht="120.75" thickBot="1">
      <c r="A22" s="1082"/>
      <c r="B22" s="553" t="s">
        <v>709</v>
      </c>
      <c r="C22" s="556" t="s">
        <v>911</v>
      </c>
      <c r="F22" s="167" t="s">
        <v>912</v>
      </c>
      <c r="G22" s="554" t="s">
        <v>685</v>
      </c>
      <c r="H22" s="1090"/>
    </row>
    <row r="23" spans="1:8" ht="15.75" customHeight="1" thickBot="1">
      <c r="A23" s="1082"/>
      <c r="B23" s="1085" t="s">
        <v>708</v>
      </c>
      <c r="C23" s="1086"/>
      <c r="F23" s="1091" t="s">
        <v>684</v>
      </c>
      <c r="G23" s="1092"/>
      <c r="H23" s="1090"/>
    </row>
    <row r="24" spans="1:8" ht="15.75" customHeight="1" thickBot="1">
      <c r="A24" s="1082"/>
      <c r="B24" s="1083" t="s">
        <v>707</v>
      </c>
      <c r="C24" s="1083"/>
      <c r="F24" s="1084" t="s">
        <v>683</v>
      </c>
      <c r="G24" s="1084"/>
      <c r="H24" s="1090"/>
    </row>
    <row r="25" spans="1:8" ht="39" thickBot="1">
      <c r="A25" s="1082"/>
      <c r="B25" s="550" t="s">
        <v>706</v>
      </c>
      <c r="C25" s="170" t="s">
        <v>915</v>
      </c>
      <c r="F25" s="167" t="s">
        <v>678</v>
      </c>
      <c r="G25" s="735" t="s">
        <v>682</v>
      </c>
      <c r="H25" s="1090"/>
    </row>
    <row r="26" spans="1:8" ht="15.75" customHeight="1" thickBot="1">
      <c r="A26" s="1082"/>
      <c r="B26" s="1083" t="s">
        <v>728</v>
      </c>
      <c r="C26" s="1083"/>
      <c r="F26" s="1093" t="s">
        <v>737</v>
      </c>
      <c r="G26" s="1093"/>
      <c r="H26" s="1090"/>
    </row>
    <row r="27" spans="1:8" ht="15.75" customHeight="1" thickBot="1">
      <c r="A27" s="1082"/>
      <c r="B27" s="1083" t="s">
        <v>727</v>
      </c>
      <c r="C27" s="1083"/>
      <c r="F27" s="1093" t="s">
        <v>916</v>
      </c>
      <c r="G27" s="1093"/>
      <c r="H27" s="1090"/>
    </row>
    <row r="28" spans="1:8" ht="15.75" customHeight="1" thickBot="1">
      <c r="A28" s="1082"/>
      <c r="B28" s="1083" t="s">
        <v>726</v>
      </c>
      <c r="C28" s="1083"/>
      <c r="F28" s="1093" t="s">
        <v>736</v>
      </c>
      <c r="G28" s="1093"/>
      <c r="H28" s="1090"/>
    </row>
    <row r="30" spans="1:8">
      <c r="A30" s="166" t="s">
        <v>724</v>
      </c>
      <c r="H30" t="s">
        <v>700</v>
      </c>
    </row>
  </sheetData>
  <mergeCells count="45">
    <mergeCell ref="H18:H28"/>
    <mergeCell ref="F18:G18"/>
    <mergeCell ref="F19:G19"/>
    <mergeCell ref="F20:G20"/>
    <mergeCell ref="F21:G21"/>
    <mergeCell ref="F23:G23"/>
    <mergeCell ref="F26:G26"/>
    <mergeCell ref="F27:G27"/>
    <mergeCell ref="F28:G28"/>
    <mergeCell ref="F24:G24"/>
    <mergeCell ref="G9:H9"/>
    <mergeCell ref="H10:H17"/>
    <mergeCell ref="F10:G10"/>
    <mergeCell ref="F11:G11"/>
    <mergeCell ref="F12:G12"/>
    <mergeCell ref="F13:G13"/>
    <mergeCell ref="F14:G14"/>
    <mergeCell ref="F16:G16"/>
    <mergeCell ref="F17:G17"/>
    <mergeCell ref="A18:A28"/>
    <mergeCell ref="B20:C20"/>
    <mergeCell ref="B26:C26"/>
    <mergeCell ref="B27:C27"/>
    <mergeCell ref="B18:C18"/>
    <mergeCell ref="B19:C19"/>
    <mergeCell ref="B21:C21"/>
    <mergeCell ref="B23:C23"/>
    <mergeCell ref="B28:C28"/>
    <mergeCell ref="B24:C24"/>
    <mergeCell ref="A9:B9"/>
    <mergeCell ref="A10:A17"/>
    <mergeCell ref="B11:C11"/>
    <mergeCell ref="B14:C14"/>
    <mergeCell ref="B17:C17"/>
    <mergeCell ref="B16:C16"/>
    <mergeCell ref="B12:C12"/>
    <mergeCell ref="B13:C13"/>
    <mergeCell ref="B10:C10"/>
    <mergeCell ref="A8:C8"/>
    <mergeCell ref="F8:H8"/>
    <mergeCell ref="A1:H1"/>
    <mergeCell ref="A5:B6"/>
    <mergeCell ref="G5:H6"/>
    <mergeCell ref="A7:C7"/>
    <mergeCell ref="F7:H7"/>
  </mergeCells>
  <printOptions horizontalCentered="1"/>
  <pageMargins left="0" right="0" top="0.74803149606299213" bottom="0" header="0" footer="0"/>
  <pageSetup paperSize="9" scale="9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rightToLeft="1" view="pageBreakPreview" zoomScaleNormal="100" zoomScaleSheetLayoutView="100" workbookViewId="0">
      <selection activeCell="D21" sqref="D21"/>
    </sheetView>
  </sheetViews>
  <sheetFormatPr defaultColWidth="9.140625" defaultRowHeight="12.75"/>
  <cols>
    <col min="1" max="1" width="20.140625" style="1" bestFit="1" customWidth="1"/>
    <col min="2" max="5" width="19.85546875" style="1" customWidth="1"/>
    <col min="6" max="6" width="23.140625" style="1" bestFit="1" customWidth="1"/>
    <col min="7" max="16384" width="9.140625" style="1"/>
  </cols>
  <sheetData>
    <row r="1" spans="1:7" ht="18">
      <c r="A1" s="934" t="s">
        <v>155</v>
      </c>
      <c r="B1" s="934"/>
      <c r="C1" s="934"/>
      <c r="D1" s="934"/>
      <c r="E1" s="934"/>
      <c r="F1" s="934"/>
    </row>
    <row r="2" spans="1:7" ht="15.75" customHeight="1">
      <c r="A2" s="958" t="s">
        <v>1003</v>
      </c>
      <c r="B2" s="958"/>
      <c r="C2" s="958"/>
      <c r="D2" s="958"/>
      <c r="E2" s="958"/>
      <c r="F2" s="958"/>
    </row>
    <row r="3" spans="1:7" ht="15.75">
      <c r="A3" s="959" t="s">
        <v>1047</v>
      </c>
      <c r="B3" s="959"/>
      <c r="C3" s="959"/>
      <c r="D3" s="959"/>
      <c r="E3" s="959"/>
      <c r="F3" s="959"/>
    </row>
    <row r="4" spans="1:7" ht="15.75">
      <c r="A4" s="635"/>
      <c r="B4" s="635"/>
      <c r="C4" s="635"/>
      <c r="D4" s="635"/>
      <c r="E4" s="635"/>
      <c r="F4" s="635"/>
    </row>
    <row r="5" spans="1:7" s="93" customFormat="1" ht="20.25" customHeight="1">
      <c r="A5" s="636" t="s">
        <v>165</v>
      </c>
      <c r="B5" s="637"/>
      <c r="C5" s="638"/>
      <c r="D5" s="638"/>
      <c r="E5" s="638"/>
      <c r="F5" s="639" t="s">
        <v>614</v>
      </c>
      <c r="G5" s="94"/>
    </row>
    <row r="6" spans="1:7" ht="21" customHeight="1">
      <c r="A6" s="954" t="s">
        <v>147</v>
      </c>
      <c r="B6" s="935" t="s">
        <v>153</v>
      </c>
      <c r="C6" s="935"/>
      <c r="D6" s="935" t="s">
        <v>152</v>
      </c>
      <c r="E6" s="935"/>
      <c r="F6" s="956" t="s">
        <v>144</v>
      </c>
    </row>
    <row r="7" spans="1:7" ht="26.25">
      <c r="A7" s="955"/>
      <c r="B7" s="683" t="s">
        <v>151</v>
      </c>
      <c r="C7" s="683" t="s">
        <v>150</v>
      </c>
      <c r="D7" s="683" t="s">
        <v>151</v>
      </c>
      <c r="E7" s="683" t="s">
        <v>150</v>
      </c>
      <c r="F7" s="957"/>
    </row>
    <row r="8" spans="1:7" ht="24.95" customHeight="1" thickBot="1">
      <c r="A8" s="92">
        <v>2006</v>
      </c>
      <c r="B8" s="797">
        <v>26.4</v>
      </c>
      <c r="C8" s="797">
        <v>23.6</v>
      </c>
      <c r="D8" s="797">
        <v>28.9</v>
      </c>
      <c r="E8" s="797">
        <v>25.6</v>
      </c>
      <c r="F8" s="91">
        <v>2006</v>
      </c>
    </row>
    <row r="9" spans="1:7" ht="24.95" customHeight="1" thickBot="1">
      <c r="A9" s="81">
        <v>2007</v>
      </c>
      <c r="B9" s="90">
        <v>26.6</v>
      </c>
      <c r="C9" s="90">
        <v>23.7</v>
      </c>
      <c r="D9" s="90">
        <v>29.2</v>
      </c>
      <c r="E9" s="90">
        <v>26</v>
      </c>
      <c r="F9" s="79">
        <v>2007</v>
      </c>
    </row>
    <row r="10" spans="1:7" ht="24.95" customHeight="1" thickBot="1">
      <c r="A10" s="78">
        <v>2008</v>
      </c>
      <c r="B10" s="89">
        <v>26.5</v>
      </c>
      <c r="C10" s="89">
        <v>23.6</v>
      </c>
      <c r="D10" s="89">
        <v>29.3</v>
      </c>
      <c r="E10" s="89">
        <v>26.1</v>
      </c>
      <c r="F10" s="77">
        <v>2008</v>
      </c>
    </row>
    <row r="11" spans="1:7" ht="24.95" customHeight="1" thickBot="1">
      <c r="A11" s="81">
        <v>2009</v>
      </c>
      <c r="B11" s="90">
        <v>26.7</v>
      </c>
      <c r="C11" s="90">
        <v>23.9</v>
      </c>
      <c r="D11" s="90">
        <v>29.7</v>
      </c>
      <c r="E11" s="90">
        <v>26.3</v>
      </c>
      <c r="F11" s="79">
        <v>2009</v>
      </c>
    </row>
    <row r="12" spans="1:7" ht="24.95" customHeight="1" thickBot="1">
      <c r="A12" s="78">
        <v>2010</v>
      </c>
      <c r="B12" s="89">
        <v>26.5</v>
      </c>
      <c r="C12" s="89">
        <v>23.9</v>
      </c>
      <c r="D12" s="89">
        <v>29.6</v>
      </c>
      <c r="E12" s="89">
        <v>26.5</v>
      </c>
      <c r="F12" s="77">
        <v>2010</v>
      </c>
    </row>
    <row r="13" spans="1:7" ht="24.95" customHeight="1" thickBot="1">
      <c r="A13" s="81">
        <v>2011</v>
      </c>
      <c r="B13" s="90">
        <v>26.7</v>
      </c>
      <c r="C13" s="90">
        <v>24.1</v>
      </c>
      <c r="D13" s="90">
        <v>29.6</v>
      </c>
      <c r="E13" s="90">
        <v>26.5</v>
      </c>
      <c r="F13" s="79">
        <v>2011</v>
      </c>
    </row>
    <row r="14" spans="1:7" ht="24.95" customHeight="1" thickBot="1">
      <c r="A14" s="78">
        <v>2012</v>
      </c>
      <c r="B14" s="89">
        <v>26.174934725848566</v>
      </c>
      <c r="C14" s="89">
        <v>23.02741358760429</v>
      </c>
      <c r="D14" s="89">
        <v>28.814432989690722</v>
      </c>
      <c r="E14" s="89">
        <v>25.694668820678515</v>
      </c>
      <c r="F14" s="77">
        <v>2012</v>
      </c>
    </row>
    <row r="15" spans="1:7" ht="24.95" customHeight="1" thickBot="1">
      <c r="A15" s="81">
        <v>2013</v>
      </c>
      <c r="B15" s="90">
        <v>26.1</v>
      </c>
      <c r="C15" s="90">
        <v>23.5</v>
      </c>
      <c r="D15" s="90">
        <v>28.7</v>
      </c>
      <c r="E15" s="90">
        <v>26.1</v>
      </c>
      <c r="F15" s="79">
        <v>2013</v>
      </c>
    </row>
    <row r="16" spans="1:7" ht="24.95" customHeight="1" thickBot="1">
      <c r="A16" s="78">
        <v>2014</v>
      </c>
      <c r="B16" s="89">
        <v>26.5</v>
      </c>
      <c r="C16" s="89">
        <v>24.1</v>
      </c>
      <c r="D16" s="89">
        <v>28.9</v>
      </c>
      <c r="E16" s="89">
        <v>26.2</v>
      </c>
      <c r="F16" s="77">
        <v>2014</v>
      </c>
    </row>
    <row r="17" spans="1:6" ht="24.95" customHeight="1">
      <c r="A17" s="76">
        <v>2015</v>
      </c>
      <c r="B17" s="88">
        <v>26.254914809960681</v>
      </c>
      <c r="C17" s="88">
        <v>23.829462102689487</v>
      </c>
      <c r="D17" s="88">
        <v>28.388975155279503</v>
      </c>
      <c r="E17" s="88">
        <v>25.96153846153846</v>
      </c>
      <c r="F17" s="75">
        <v>2015</v>
      </c>
    </row>
    <row r="18" spans="1:6" ht="14.25" customHeight="1"/>
  </sheetData>
  <mergeCells count="7">
    <mergeCell ref="A1:F1"/>
    <mergeCell ref="A6:A7"/>
    <mergeCell ref="F6:F7"/>
    <mergeCell ref="A2:F2"/>
    <mergeCell ref="A3:F3"/>
    <mergeCell ref="B6:C6"/>
    <mergeCell ref="D6:E6"/>
  </mergeCells>
  <printOptions horizontalCentered="1" verticalCentered="1"/>
  <pageMargins left="0" right="0" top="0" bottom="0" header="0" footer="0"/>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rightToLeft="1" view="pageBreakPreview" topLeftCell="A4" zoomScaleNormal="100" zoomScaleSheetLayoutView="100" workbookViewId="0"/>
  </sheetViews>
  <sheetFormatPr defaultColWidth="9.140625" defaultRowHeight="12.75"/>
  <cols>
    <col min="1" max="16384" width="9.140625" style="1"/>
  </cols>
  <sheetData>
    <row r="1" spans="1:1" ht="36" customHeight="1"/>
    <row r="11" spans="1:1">
      <c r="A11" s="675"/>
    </row>
    <row r="36" spans="1:13" ht="15.75">
      <c r="A36" s="945" t="s">
        <v>156</v>
      </c>
      <c r="B36" s="945"/>
      <c r="C36" s="945"/>
      <c r="D36" s="945"/>
      <c r="E36" s="945"/>
      <c r="F36" s="945"/>
      <c r="G36" s="945"/>
      <c r="H36" s="945"/>
      <c r="I36" s="945"/>
      <c r="J36" s="945"/>
      <c r="K36" s="945"/>
      <c r="L36" s="945"/>
      <c r="M36" s="945"/>
    </row>
  </sheetData>
  <mergeCells count="1">
    <mergeCell ref="A36:M36"/>
  </mergeCells>
  <printOptions horizontalCentered="1" verticalCentered="1"/>
  <pageMargins left="0" right="0" top="0" bottom="0" header="0" footer="0"/>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rightToLeft="1" view="pageBreakPreview" zoomScaleNormal="100" zoomScaleSheetLayoutView="100" workbookViewId="0">
      <selection activeCell="E22" sqref="E22"/>
    </sheetView>
  </sheetViews>
  <sheetFormatPr defaultColWidth="9.140625" defaultRowHeight="12.75"/>
  <cols>
    <col min="1" max="1" width="20.140625" style="1" bestFit="1" customWidth="1"/>
    <col min="2" max="5" width="19.7109375" style="1" customWidth="1"/>
    <col min="6" max="6" width="23.140625" style="1" bestFit="1" customWidth="1"/>
    <col min="7" max="16384" width="9.140625" style="1"/>
  </cols>
  <sheetData>
    <row r="1" spans="1:7" ht="18">
      <c r="A1" s="934" t="s">
        <v>1005</v>
      </c>
      <c r="B1" s="934"/>
      <c r="C1" s="934"/>
      <c r="D1" s="934"/>
      <c r="E1" s="934"/>
      <c r="F1" s="934"/>
    </row>
    <row r="2" spans="1:7" ht="15.75" customHeight="1">
      <c r="A2" s="958" t="s">
        <v>166</v>
      </c>
      <c r="B2" s="958"/>
      <c r="C2" s="958"/>
      <c r="D2" s="958"/>
      <c r="E2" s="958"/>
      <c r="F2" s="958"/>
    </row>
    <row r="3" spans="1:7" ht="15.75">
      <c r="A3" s="959" t="s">
        <v>1047</v>
      </c>
      <c r="B3" s="959"/>
      <c r="C3" s="959"/>
      <c r="D3" s="959"/>
      <c r="E3" s="959"/>
      <c r="F3" s="959"/>
    </row>
    <row r="4" spans="1:7" ht="15.75">
      <c r="A4" s="635"/>
      <c r="B4" s="635"/>
      <c r="C4" s="635"/>
      <c r="D4" s="635"/>
      <c r="E4" s="635"/>
      <c r="F4" s="635"/>
    </row>
    <row r="5" spans="1:7" s="93" customFormat="1" ht="20.25" customHeight="1">
      <c r="A5" s="636" t="s">
        <v>174</v>
      </c>
      <c r="B5" s="638"/>
      <c r="C5" s="638"/>
      <c r="D5" s="638"/>
      <c r="E5" s="638"/>
      <c r="F5" s="639" t="s">
        <v>613</v>
      </c>
      <c r="G5" s="94"/>
    </row>
    <row r="6" spans="1:7" ht="24" customHeight="1" thickBot="1">
      <c r="A6" s="960" t="s">
        <v>147</v>
      </c>
      <c r="B6" s="99" t="s">
        <v>164</v>
      </c>
      <c r="C6" s="98" t="s">
        <v>163</v>
      </c>
      <c r="D6" s="99" t="s">
        <v>162</v>
      </c>
      <c r="E6" s="98" t="s">
        <v>161</v>
      </c>
      <c r="F6" s="962" t="s">
        <v>144</v>
      </c>
    </row>
    <row r="7" spans="1:7" ht="25.5" customHeight="1">
      <c r="A7" s="961"/>
      <c r="B7" s="715" t="s">
        <v>160</v>
      </c>
      <c r="C7" s="715" t="s">
        <v>159</v>
      </c>
      <c r="D7" s="715" t="s">
        <v>158</v>
      </c>
      <c r="E7" s="715" t="s">
        <v>157</v>
      </c>
      <c r="F7" s="963"/>
    </row>
    <row r="8" spans="1:7" ht="24.95" customHeight="1" thickBot="1">
      <c r="A8" s="92">
        <v>2006</v>
      </c>
      <c r="B8" s="877">
        <v>3019</v>
      </c>
      <c r="C8" s="797">
        <v>2.8946820883515652</v>
      </c>
      <c r="D8" s="877">
        <v>826</v>
      </c>
      <c r="E8" s="797">
        <v>0.79198655348737768</v>
      </c>
      <c r="F8" s="91">
        <v>2006</v>
      </c>
    </row>
    <row r="9" spans="1:7" ht="24.95" customHeight="1" thickBot="1">
      <c r="A9" s="81">
        <v>2007</v>
      </c>
      <c r="B9" s="878">
        <v>3206</v>
      </c>
      <c r="C9" s="90">
        <v>2.6316437512825774</v>
      </c>
      <c r="D9" s="878">
        <v>997</v>
      </c>
      <c r="E9" s="90">
        <v>0.81838703057664686</v>
      </c>
      <c r="F9" s="79">
        <v>2007</v>
      </c>
    </row>
    <row r="10" spans="1:7" ht="24.95" customHeight="1" thickBot="1">
      <c r="A10" s="78">
        <v>2008</v>
      </c>
      <c r="B10" s="879">
        <v>3235</v>
      </c>
      <c r="C10" s="89">
        <v>2.2333772184477652</v>
      </c>
      <c r="D10" s="879">
        <v>939</v>
      </c>
      <c r="E10" s="89">
        <v>0.64826621580292154</v>
      </c>
      <c r="F10" s="77">
        <v>2008</v>
      </c>
    </row>
    <row r="11" spans="1:7" ht="24.95" customHeight="1" thickBot="1">
      <c r="A11" s="81">
        <v>2009</v>
      </c>
      <c r="B11" s="878">
        <v>3153</v>
      </c>
      <c r="C11" s="90">
        <v>1.9241730571832742</v>
      </c>
      <c r="D11" s="878">
        <v>1108</v>
      </c>
      <c r="E11" s="90">
        <v>0.67617625986649788</v>
      </c>
      <c r="F11" s="79">
        <v>2009</v>
      </c>
    </row>
    <row r="12" spans="1:7" ht="24.95" customHeight="1" thickBot="1">
      <c r="A12" s="78">
        <v>2010</v>
      </c>
      <c r="B12" s="879">
        <v>2977</v>
      </c>
      <c r="C12" s="89">
        <v>1.7</v>
      </c>
      <c r="D12" s="879">
        <v>1172</v>
      </c>
      <c r="E12" s="89">
        <v>0.7</v>
      </c>
      <c r="F12" s="77">
        <v>2010</v>
      </c>
    </row>
    <row r="13" spans="1:7" ht="24.95" customHeight="1" thickBot="1">
      <c r="A13" s="81">
        <v>2011</v>
      </c>
      <c r="B13" s="878">
        <v>3293</v>
      </c>
      <c r="C13" s="90">
        <v>1.9</v>
      </c>
      <c r="D13" s="878">
        <v>1108</v>
      </c>
      <c r="E13" s="90">
        <v>0.6</v>
      </c>
      <c r="F13" s="79">
        <v>2011</v>
      </c>
    </row>
    <row r="14" spans="1:7" ht="24.95" customHeight="1" thickBot="1">
      <c r="A14" s="78">
        <v>2012</v>
      </c>
      <c r="B14" s="879">
        <v>3532</v>
      </c>
      <c r="C14" s="89">
        <v>1.9</v>
      </c>
      <c r="D14" s="879">
        <v>1420</v>
      </c>
      <c r="E14" s="89">
        <v>0.8</v>
      </c>
      <c r="F14" s="77">
        <v>2012</v>
      </c>
    </row>
    <row r="15" spans="1:7" ht="24.95" customHeight="1" thickBot="1">
      <c r="A15" s="81">
        <v>2013</v>
      </c>
      <c r="B15" s="878">
        <v>3619</v>
      </c>
      <c r="C15" s="90">
        <v>1.8</v>
      </c>
      <c r="D15" s="878">
        <v>1325</v>
      </c>
      <c r="E15" s="90">
        <v>0.7</v>
      </c>
      <c r="F15" s="79">
        <v>2013</v>
      </c>
    </row>
    <row r="16" spans="1:7" ht="24.95" customHeight="1" thickBot="1">
      <c r="A16" s="78">
        <v>2014</v>
      </c>
      <c r="B16" s="879">
        <v>3674</v>
      </c>
      <c r="C16" s="89">
        <v>1.7</v>
      </c>
      <c r="D16" s="879">
        <v>1315</v>
      </c>
      <c r="E16" s="89">
        <v>0.6</v>
      </c>
      <c r="F16" s="77">
        <v>2014</v>
      </c>
    </row>
    <row r="17" spans="1:6" ht="24.95" customHeight="1">
      <c r="A17" s="76">
        <v>2015</v>
      </c>
      <c r="B17" s="880">
        <v>3724</v>
      </c>
      <c r="C17" s="88">
        <v>1.5276131250025637</v>
      </c>
      <c r="D17" s="880">
        <v>1307</v>
      </c>
      <c r="E17" s="88">
        <v>0.53614134113274736</v>
      </c>
      <c r="F17" s="75">
        <v>2015</v>
      </c>
    </row>
  </sheetData>
  <mergeCells count="5">
    <mergeCell ref="A6:A7"/>
    <mergeCell ref="F6:F7"/>
    <mergeCell ref="A1:F1"/>
    <mergeCell ref="A2:F2"/>
    <mergeCell ref="A3:F3"/>
  </mergeCells>
  <printOptions horizontalCentered="1" verticalCentered="1"/>
  <pageMargins left="0" right="0" top="0" bottom="0" header="0" footer="0"/>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rightToLeft="1" view="pageBreakPreview" topLeftCell="A4" zoomScaleNormal="100" zoomScaleSheetLayoutView="100" workbookViewId="0">
      <selection activeCell="F4" sqref="F4"/>
    </sheetView>
  </sheetViews>
  <sheetFormatPr defaultColWidth="9.140625" defaultRowHeight="12.75"/>
  <cols>
    <col min="1" max="16384" width="9.140625" style="1"/>
  </cols>
  <sheetData>
    <row r="1" ht="33" customHeight="1"/>
    <row r="34" spans="1:13" ht="15.75">
      <c r="A34" s="945" t="s">
        <v>167</v>
      </c>
      <c r="B34" s="945"/>
      <c r="C34" s="945"/>
      <c r="D34" s="945"/>
      <c r="E34" s="945"/>
      <c r="F34" s="945"/>
      <c r="G34" s="945"/>
      <c r="H34" s="945"/>
      <c r="I34" s="945"/>
      <c r="J34" s="945"/>
      <c r="K34" s="945"/>
      <c r="L34" s="945"/>
      <c r="M34" s="945"/>
    </row>
  </sheetData>
  <mergeCells count="1">
    <mergeCell ref="A34:M34"/>
  </mergeCells>
  <printOptions horizontalCentered="1" verticalCentered="1"/>
  <pageMargins left="0" right="0" top="0" bottom="0" header="0" footer="0"/>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rightToLeft="1" view="pageBreakPreview" zoomScaleNormal="100" zoomScaleSheetLayoutView="100" workbookViewId="0">
      <selection activeCell="J21" sqref="J21"/>
    </sheetView>
  </sheetViews>
  <sheetFormatPr defaultColWidth="9.140625" defaultRowHeight="12.75"/>
  <cols>
    <col min="1" max="1" width="13.85546875" style="1" customWidth="1"/>
    <col min="2" max="13" width="10.7109375" style="1" customWidth="1"/>
    <col min="14" max="14" width="13.85546875" style="1" customWidth="1"/>
    <col min="15" max="16384" width="9.140625" style="1"/>
  </cols>
  <sheetData>
    <row r="1" spans="1:15" ht="18">
      <c r="A1" s="934" t="s">
        <v>1010</v>
      </c>
      <c r="B1" s="934"/>
      <c r="C1" s="934"/>
      <c r="D1" s="934"/>
      <c r="E1" s="934"/>
      <c r="F1" s="934"/>
      <c r="G1" s="934"/>
      <c r="H1" s="934"/>
      <c r="I1" s="934"/>
      <c r="J1" s="934"/>
      <c r="K1" s="934"/>
      <c r="L1" s="934"/>
      <c r="M1" s="934"/>
      <c r="N1" s="934"/>
    </row>
    <row r="2" spans="1:15" ht="33" customHeight="1">
      <c r="A2" s="958" t="s">
        <v>967</v>
      </c>
      <c r="B2" s="958"/>
      <c r="C2" s="958"/>
      <c r="D2" s="958"/>
      <c r="E2" s="958"/>
      <c r="F2" s="958"/>
      <c r="G2" s="958"/>
      <c r="H2" s="958"/>
      <c r="I2" s="958"/>
      <c r="J2" s="958"/>
      <c r="K2" s="958"/>
      <c r="L2" s="958"/>
      <c r="M2" s="958"/>
      <c r="N2" s="958"/>
    </row>
    <row r="3" spans="1:15" ht="15.75">
      <c r="A3" s="959" t="s">
        <v>1047</v>
      </c>
      <c r="B3" s="959"/>
      <c r="C3" s="959"/>
      <c r="D3" s="959"/>
      <c r="E3" s="959"/>
      <c r="F3" s="959"/>
      <c r="G3" s="959"/>
      <c r="H3" s="959"/>
      <c r="I3" s="959"/>
      <c r="J3" s="959"/>
      <c r="K3" s="959"/>
      <c r="L3" s="959"/>
      <c r="M3" s="959"/>
      <c r="N3" s="959"/>
    </row>
    <row r="4" spans="1:15" ht="15.75">
      <c r="A4" s="959"/>
      <c r="B4" s="959"/>
      <c r="C4" s="959"/>
      <c r="D4" s="959"/>
      <c r="E4" s="959"/>
      <c r="F4" s="959"/>
      <c r="G4" s="959"/>
      <c r="H4" s="959"/>
      <c r="I4" s="959"/>
      <c r="J4" s="959"/>
      <c r="K4" s="959"/>
      <c r="L4" s="959"/>
      <c r="M4" s="959"/>
      <c r="N4" s="959"/>
    </row>
    <row r="5" spans="1:15" ht="20.25" customHeight="1">
      <c r="A5" s="640" t="s">
        <v>191</v>
      </c>
      <c r="B5" s="637"/>
      <c r="C5" s="641"/>
      <c r="D5" s="641"/>
      <c r="E5" s="642"/>
      <c r="F5" s="637"/>
      <c r="G5" s="641"/>
      <c r="H5" s="641"/>
      <c r="I5" s="642"/>
      <c r="J5" s="637"/>
      <c r="K5" s="641"/>
      <c r="L5" s="641"/>
      <c r="M5" s="642"/>
      <c r="N5" s="643" t="s">
        <v>612</v>
      </c>
      <c r="O5" s="102"/>
    </row>
    <row r="6" spans="1:15" ht="30.75" customHeight="1">
      <c r="A6" s="967" t="s">
        <v>147</v>
      </c>
      <c r="B6" s="964" t="s">
        <v>173</v>
      </c>
      <c r="C6" s="964"/>
      <c r="D6" s="964"/>
      <c r="E6" s="964"/>
      <c r="F6" s="964" t="s">
        <v>172</v>
      </c>
      <c r="G6" s="964"/>
      <c r="H6" s="964"/>
      <c r="I6" s="964"/>
      <c r="J6" s="964" t="s">
        <v>1</v>
      </c>
      <c r="K6" s="964"/>
      <c r="L6" s="964"/>
      <c r="M6" s="964"/>
      <c r="N6" s="965" t="s">
        <v>144</v>
      </c>
    </row>
    <row r="7" spans="1:15" ht="30.75" customHeight="1">
      <c r="A7" s="967"/>
      <c r="B7" s="964" t="s">
        <v>171</v>
      </c>
      <c r="C7" s="964"/>
      <c r="D7" s="964" t="s">
        <v>170</v>
      </c>
      <c r="E7" s="964"/>
      <c r="F7" s="964" t="s">
        <v>171</v>
      </c>
      <c r="G7" s="964"/>
      <c r="H7" s="964" t="s">
        <v>170</v>
      </c>
      <c r="I7" s="964"/>
      <c r="J7" s="964" t="s">
        <v>171</v>
      </c>
      <c r="K7" s="964"/>
      <c r="L7" s="964" t="s">
        <v>170</v>
      </c>
      <c r="M7" s="964"/>
      <c r="N7" s="965"/>
    </row>
    <row r="8" spans="1:15" ht="66.75" customHeight="1">
      <c r="A8" s="968"/>
      <c r="B8" s="705" t="s">
        <v>169</v>
      </c>
      <c r="C8" s="705" t="s">
        <v>168</v>
      </c>
      <c r="D8" s="705" t="s">
        <v>169</v>
      </c>
      <c r="E8" s="705" t="s">
        <v>168</v>
      </c>
      <c r="F8" s="705" t="s">
        <v>169</v>
      </c>
      <c r="G8" s="705" t="s">
        <v>168</v>
      </c>
      <c r="H8" s="705" t="s">
        <v>169</v>
      </c>
      <c r="I8" s="705" t="s">
        <v>168</v>
      </c>
      <c r="J8" s="705" t="s">
        <v>169</v>
      </c>
      <c r="K8" s="705" t="s">
        <v>168</v>
      </c>
      <c r="L8" s="705" t="s">
        <v>169</v>
      </c>
      <c r="M8" s="705" t="s">
        <v>168</v>
      </c>
      <c r="N8" s="966"/>
    </row>
    <row r="9" spans="1:15" ht="24.95" customHeight="1" thickBot="1">
      <c r="A9" s="798">
        <v>2006</v>
      </c>
      <c r="B9" s="799">
        <v>2023</v>
      </c>
      <c r="C9" s="800">
        <v>34.949208762352285</v>
      </c>
      <c r="D9" s="799">
        <v>2024</v>
      </c>
      <c r="E9" s="800">
        <v>32.247271568549344</v>
      </c>
      <c r="F9" s="799">
        <v>996</v>
      </c>
      <c r="G9" s="800">
        <v>1.6821596497865212</v>
      </c>
      <c r="H9" s="799">
        <v>995</v>
      </c>
      <c r="I9" s="800">
        <v>7.5925219381915303</v>
      </c>
      <c r="J9" s="799">
        <v>3019</v>
      </c>
      <c r="K9" s="800">
        <v>4.6447583002553925</v>
      </c>
      <c r="L9" s="799">
        <v>3019</v>
      </c>
      <c r="M9" s="800">
        <v>15.576709748987435</v>
      </c>
      <c r="N9" s="801">
        <v>2006</v>
      </c>
    </row>
    <row r="10" spans="1:15" ht="24.95" customHeight="1" thickBot="1">
      <c r="A10" s="81">
        <v>2007</v>
      </c>
      <c r="B10" s="96">
        <v>2013</v>
      </c>
      <c r="C10" s="101">
        <v>33.305757776307082</v>
      </c>
      <c r="D10" s="96">
        <v>2012</v>
      </c>
      <c r="E10" s="101">
        <v>30.797018260856255</v>
      </c>
      <c r="F10" s="96">
        <v>1193</v>
      </c>
      <c r="G10" s="101">
        <v>1.6172148659053691</v>
      </c>
      <c r="H10" s="96">
        <v>1194</v>
      </c>
      <c r="I10" s="101">
        <v>8.0450631342056678</v>
      </c>
      <c r="J10" s="96">
        <v>3206</v>
      </c>
      <c r="K10" s="101">
        <v>4.0168995449351481</v>
      </c>
      <c r="L10" s="96">
        <v>3206</v>
      </c>
      <c r="M10" s="101">
        <v>14.999181267398068</v>
      </c>
      <c r="N10" s="79">
        <v>2007</v>
      </c>
    </row>
    <row r="11" spans="1:15" ht="24.95" customHeight="1" thickBot="1">
      <c r="A11" s="78">
        <v>2008</v>
      </c>
      <c r="B11" s="95">
        <v>1954</v>
      </c>
      <c r="C11" s="100">
        <v>30.954455445544554</v>
      </c>
      <c r="D11" s="95">
        <v>1992</v>
      </c>
      <c r="E11" s="100">
        <v>29.252819548872179</v>
      </c>
      <c r="F11" s="95">
        <v>1281</v>
      </c>
      <c r="G11" s="100">
        <v>1.3675494709152867</v>
      </c>
      <c r="H11" s="95">
        <v>1243</v>
      </c>
      <c r="I11" s="100">
        <v>7.4408859622867398</v>
      </c>
      <c r="J11" s="95">
        <v>3235</v>
      </c>
      <c r="K11" s="100">
        <v>3.2355273909647275</v>
      </c>
      <c r="L11" s="95">
        <v>3235</v>
      </c>
      <c r="M11" s="100">
        <v>13.757410289777415</v>
      </c>
      <c r="N11" s="77">
        <v>2008</v>
      </c>
    </row>
    <row r="12" spans="1:15" ht="24.95" customHeight="1" thickBot="1">
      <c r="A12" s="81">
        <v>2009</v>
      </c>
      <c r="B12" s="96">
        <v>1920</v>
      </c>
      <c r="C12" s="101">
        <v>29.415820195799053</v>
      </c>
      <c r="D12" s="96">
        <v>1946</v>
      </c>
      <c r="E12" s="101">
        <v>27.664050949619014</v>
      </c>
      <c r="F12" s="96">
        <v>1233</v>
      </c>
      <c r="G12" s="101">
        <v>1.1370447901585221</v>
      </c>
      <c r="H12" s="96">
        <v>1207</v>
      </c>
      <c r="I12" s="101">
        <v>6.1943814343046588</v>
      </c>
      <c r="J12" s="96">
        <v>3153</v>
      </c>
      <c r="K12" s="101">
        <v>2.7425475857665869</v>
      </c>
      <c r="L12" s="96">
        <v>3153</v>
      </c>
      <c r="M12" s="101">
        <v>11.889229933860738</v>
      </c>
      <c r="N12" s="79">
        <v>2009</v>
      </c>
    </row>
    <row r="13" spans="1:15" ht="24.95" customHeight="1" thickBot="1">
      <c r="A13" s="78">
        <v>2010</v>
      </c>
      <c r="B13" s="95">
        <v>1752</v>
      </c>
      <c r="C13" s="100">
        <v>24.2</v>
      </c>
      <c r="D13" s="95">
        <v>1775</v>
      </c>
      <c r="E13" s="100">
        <v>23.5</v>
      </c>
      <c r="F13" s="95">
        <v>1225</v>
      </c>
      <c r="G13" s="100">
        <v>1.1000000000000001</v>
      </c>
      <c r="H13" s="95">
        <v>1202</v>
      </c>
      <c r="I13" s="100">
        <v>5.2</v>
      </c>
      <c r="J13" s="95">
        <v>2977</v>
      </c>
      <c r="K13" s="100">
        <v>2.5</v>
      </c>
      <c r="L13" s="95">
        <v>2977</v>
      </c>
      <c r="M13" s="100">
        <v>9.5</v>
      </c>
      <c r="N13" s="77">
        <v>2010</v>
      </c>
    </row>
    <row r="14" spans="1:15" ht="24.95" customHeight="1" thickBot="1">
      <c r="A14" s="81">
        <v>2011</v>
      </c>
      <c r="B14" s="96">
        <v>1898</v>
      </c>
      <c r="C14" s="101">
        <v>25.3</v>
      </c>
      <c r="D14" s="96">
        <v>1925</v>
      </c>
      <c r="E14" s="101">
        <v>24.2</v>
      </c>
      <c r="F14" s="96">
        <v>1395</v>
      </c>
      <c r="G14" s="101">
        <v>1.3</v>
      </c>
      <c r="H14" s="96">
        <v>1368</v>
      </c>
      <c r="I14" s="101">
        <v>5.7</v>
      </c>
      <c r="J14" s="96">
        <v>3293</v>
      </c>
      <c r="K14" s="101">
        <v>2.8</v>
      </c>
      <c r="L14" s="96">
        <v>3293</v>
      </c>
      <c r="M14" s="101">
        <v>10.3</v>
      </c>
      <c r="N14" s="79">
        <v>2011</v>
      </c>
    </row>
    <row r="15" spans="1:15" ht="24.95" customHeight="1" thickBot="1">
      <c r="A15" s="78">
        <v>2012</v>
      </c>
      <c r="B15" s="95">
        <v>2053</v>
      </c>
      <c r="C15" s="100">
        <v>26.3</v>
      </c>
      <c r="D15" s="95">
        <v>2067</v>
      </c>
      <c r="E15" s="100">
        <v>25.1</v>
      </c>
      <c r="F15" s="95">
        <v>1479</v>
      </c>
      <c r="G15" s="100">
        <v>1.3</v>
      </c>
      <c r="H15" s="95">
        <v>1465</v>
      </c>
      <c r="I15" s="100">
        <v>5.6</v>
      </c>
      <c r="J15" s="95">
        <v>3532</v>
      </c>
      <c r="K15" s="100">
        <v>2.9</v>
      </c>
      <c r="L15" s="95">
        <v>3532</v>
      </c>
      <c r="M15" s="100">
        <v>10.3</v>
      </c>
      <c r="N15" s="77">
        <v>2012</v>
      </c>
    </row>
    <row r="16" spans="1:15" ht="24.95" customHeight="1" thickBot="1">
      <c r="A16" s="81">
        <v>2013</v>
      </c>
      <c r="B16" s="96">
        <v>2072</v>
      </c>
      <c r="C16" s="101">
        <v>25.7</v>
      </c>
      <c r="D16" s="96">
        <v>2067</v>
      </c>
      <c r="E16" s="101">
        <v>24.2</v>
      </c>
      <c r="F16" s="96">
        <v>1547</v>
      </c>
      <c r="G16" s="101">
        <v>1.2</v>
      </c>
      <c r="H16" s="96">
        <v>1552</v>
      </c>
      <c r="I16" s="101">
        <v>5.2</v>
      </c>
      <c r="J16" s="96">
        <v>3619</v>
      </c>
      <c r="K16" s="101">
        <v>2.7</v>
      </c>
      <c r="L16" s="96">
        <v>3619</v>
      </c>
      <c r="M16" s="101">
        <v>9.5</v>
      </c>
      <c r="N16" s="79">
        <v>2013</v>
      </c>
    </row>
    <row r="17" spans="1:14" ht="24.95" customHeight="1" thickBot="1">
      <c r="A17" s="78">
        <v>2014</v>
      </c>
      <c r="B17" s="95">
        <v>2076</v>
      </c>
      <c r="C17" s="100">
        <v>24.986760387078139</v>
      </c>
      <c r="D17" s="95">
        <v>2047</v>
      </c>
      <c r="E17" s="100">
        <v>23.169475602440322</v>
      </c>
      <c r="F17" s="95">
        <v>1598</v>
      </c>
      <c r="G17" s="100">
        <v>1.1382123086478495</v>
      </c>
      <c r="H17" s="95">
        <v>1627</v>
      </c>
      <c r="I17" s="100">
        <v>5.105883534388612</v>
      </c>
      <c r="J17" s="95">
        <v>3674</v>
      </c>
      <c r="K17" s="100">
        <v>2.4706800086077036</v>
      </c>
      <c r="L17" s="95">
        <v>3674</v>
      </c>
      <c r="M17" s="100">
        <v>9.0270048476539362</v>
      </c>
      <c r="N17" s="77">
        <v>2014</v>
      </c>
    </row>
    <row r="18" spans="1:14" ht="24.95" customHeight="1">
      <c r="A18" s="802">
        <v>2015</v>
      </c>
      <c r="B18" s="803">
        <v>2069</v>
      </c>
      <c r="C18" s="804">
        <v>24.085585900211871</v>
      </c>
      <c r="D18" s="803">
        <v>1993</v>
      </c>
      <c r="E18" s="804">
        <v>22.249014814070577</v>
      </c>
      <c r="F18" s="803">
        <v>1655</v>
      </c>
      <c r="G18" s="804">
        <v>1.0461527180691119</v>
      </c>
      <c r="H18" s="803">
        <v>1731</v>
      </c>
      <c r="I18" s="804">
        <v>5.0476920878665847</v>
      </c>
      <c r="J18" s="803">
        <v>3724</v>
      </c>
      <c r="K18" s="804">
        <v>2.232762491988376</v>
      </c>
      <c r="L18" s="803">
        <v>3648</v>
      </c>
      <c r="M18" s="804">
        <v>8.4345650696175323</v>
      </c>
      <c r="N18" s="805">
        <v>2015</v>
      </c>
    </row>
  </sheetData>
  <mergeCells count="15">
    <mergeCell ref="F7:G7"/>
    <mergeCell ref="H7:I7"/>
    <mergeCell ref="N6:N8"/>
    <mergeCell ref="A6:A8"/>
    <mergeCell ref="A1:N1"/>
    <mergeCell ref="A2:N2"/>
    <mergeCell ref="A3:N3"/>
    <mergeCell ref="A4:N4"/>
    <mergeCell ref="J7:K7"/>
    <mergeCell ref="L7:M7"/>
    <mergeCell ref="B6:E6"/>
    <mergeCell ref="F6:I6"/>
    <mergeCell ref="J6:M6"/>
    <mergeCell ref="B7:C7"/>
    <mergeCell ref="D7:E7"/>
  </mergeCells>
  <printOptions horizontalCentered="1" verticalCentered="1"/>
  <pageMargins left="0" right="0" top="0" bottom="0" header="0" footer="0"/>
  <pageSetup paperSize="9" scale="90" orientation="landscape" r:id="rId1"/>
  <headerFooter alignWithMargins="0"/>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rightToLeft="1" view="pageBreakPreview" zoomScaleNormal="100" zoomScaleSheetLayoutView="100" workbookViewId="0">
      <selection activeCell="O17" sqref="O17"/>
    </sheetView>
  </sheetViews>
  <sheetFormatPr defaultColWidth="9.140625" defaultRowHeight="12.75"/>
  <cols>
    <col min="1" max="16384" width="9.140625" style="1"/>
  </cols>
  <sheetData>
    <row r="1" ht="26.25" customHeight="1"/>
    <row r="34" spans="1:13" ht="15.75">
      <c r="A34" s="945" t="s">
        <v>175</v>
      </c>
      <c r="B34" s="945"/>
      <c r="C34" s="945"/>
      <c r="D34" s="945"/>
      <c r="E34" s="945"/>
      <c r="F34" s="945"/>
      <c r="G34" s="945"/>
      <c r="H34" s="945"/>
      <c r="I34" s="945"/>
      <c r="J34" s="945"/>
      <c r="K34" s="945"/>
      <c r="L34" s="945"/>
      <c r="M34" s="945"/>
    </row>
  </sheetData>
  <mergeCells count="1">
    <mergeCell ref="A34:M34"/>
  </mergeCells>
  <printOptions horizontalCentered="1" verticalCentered="1"/>
  <pageMargins left="0" right="0" top="0" bottom="0" header="0" footer="0"/>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rightToLeft="1" view="pageBreakPreview" zoomScaleNormal="100" zoomScaleSheetLayoutView="100" workbookViewId="0">
      <selection activeCell="B20" sqref="B20"/>
    </sheetView>
  </sheetViews>
  <sheetFormatPr defaultColWidth="9.140625" defaultRowHeight="12.75"/>
  <cols>
    <col min="1" max="1" width="18.5703125" style="2" customWidth="1"/>
    <col min="2" max="4" width="28" style="2" customWidth="1"/>
    <col min="5" max="5" width="19.7109375" style="2" customWidth="1"/>
    <col min="6" max="6" width="19.5703125" style="2" customWidth="1"/>
    <col min="7" max="7" width="23" style="2" customWidth="1"/>
    <col min="8" max="8" width="16" style="2" customWidth="1"/>
    <col min="9" max="16384" width="9.140625" style="2"/>
  </cols>
  <sheetData>
    <row r="1" spans="1:6" ht="18">
      <c r="A1" s="974" t="s">
        <v>1019</v>
      </c>
      <c r="B1" s="974"/>
      <c r="C1" s="974"/>
      <c r="D1" s="974"/>
      <c r="E1" s="974"/>
    </row>
    <row r="2" spans="1:6" ht="36.75" customHeight="1">
      <c r="A2" s="975" t="s">
        <v>1265</v>
      </c>
      <c r="B2" s="975"/>
      <c r="C2" s="975"/>
      <c r="D2" s="975"/>
      <c r="E2" s="975"/>
    </row>
    <row r="3" spans="1:6" ht="15.75">
      <c r="A3" s="959">
        <v>2015</v>
      </c>
      <c r="B3" s="959"/>
      <c r="C3" s="959"/>
      <c r="D3" s="959"/>
      <c r="E3" s="959"/>
    </row>
    <row r="4" spans="1:6" ht="15.75">
      <c r="A4" s="869"/>
      <c r="B4" s="869"/>
      <c r="C4" s="869"/>
      <c r="D4" s="869"/>
      <c r="E4" s="869"/>
    </row>
    <row r="5" spans="1:6" ht="20.25" customHeight="1">
      <c r="A5" s="636" t="s">
        <v>1033</v>
      </c>
      <c r="B5" s="644"/>
      <c r="C5" s="645"/>
      <c r="D5" s="645"/>
      <c r="E5" s="643" t="s">
        <v>1034</v>
      </c>
      <c r="F5" s="94"/>
    </row>
    <row r="6" spans="1:6" ht="33" customHeight="1" thickBot="1">
      <c r="A6" s="970" t="s">
        <v>1264</v>
      </c>
      <c r="B6" s="969" t="s">
        <v>190</v>
      </c>
      <c r="C6" s="969"/>
      <c r="D6" s="969"/>
      <c r="E6" s="972" t="s">
        <v>1021</v>
      </c>
    </row>
    <row r="7" spans="1:6" ht="30.75" customHeight="1">
      <c r="A7" s="971"/>
      <c r="B7" s="876" t="s">
        <v>770</v>
      </c>
      <c r="C7" s="876" t="s">
        <v>771</v>
      </c>
      <c r="D7" s="876" t="s">
        <v>772</v>
      </c>
      <c r="E7" s="973"/>
    </row>
    <row r="8" spans="1:6" ht="21.75" customHeight="1" thickBot="1">
      <c r="A8" s="813" t="s">
        <v>758</v>
      </c>
      <c r="B8" s="814">
        <v>497</v>
      </c>
      <c r="C8" s="814">
        <v>609</v>
      </c>
      <c r="D8" s="815">
        <f>Table_Default__XLS_TAB_6[[#This Row],[M_QTRI_COUNT]]+Table_Default__XLS_TAB_6[[#This Row],[M_NQTRI_COUNT]]</f>
        <v>1106</v>
      </c>
      <c r="E8" s="816" t="s">
        <v>183</v>
      </c>
    </row>
    <row r="9" spans="1:6" ht="21.75" customHeight="1" thickBot="1">
      <c r="A9" s="806" t="s">
        <v>759</v>
      </c>
      <c r="B9" s="739">
        <v>1012</v>
      </c>
      <c r="C9" s="739">
        <v>621</v>
      </c>
      <c r="D9" s="807">
        <f>Table_Default__XLS_TAB_6[[#This Row],[M_QTRI_COUNT]]+Table_Default__XLS_TAB_6[[#This Row],[M_NQTRI_COUNT]]</f>
        <v>1633</v>
      </c>
      <c r="E9" s="812" t="s">
        <v>182</v>
      </c>
    </row>
    <row r="10" spans="1:6" ht="21.75" customHeight="1" thickBot="1">
      <c r="A10" s="808" t="s">
        <v>760</v>
      </c>
      <c r="B10" s="809">
        <v>118</v>
      </c>
      <c r="C10" s="809">
        <v>118</v>
      </c>
      <c r="D10" s="810">
        <f>Table_Default__XLS_TAB_6[[#This Row],[M_QTRI_COUNT]]+Table_Default__XLS_TAB_6[[#This Row],[M_NQTRI_COUNT]]</f>
        <v>236</v>
      </c>
      <c r="E10" s="811" t="s">
        <v>181</v>
      </c>
    </row>
    <row r="11" spans="1:6" ht="21.75" customHeight="1" thickBot="1">
      <c r="A11" s="806" t="s">
        <v>761</v>
      </c>
      <c r="B11" s="739">
        <v>153</v>
      </c>
      <c r="C11" s="739">
        <v>83</v>
      </c>
      <c r="D11" s="807">
        <f>Table_Default__XLS_TAB_6[[#This Row],[M_QTRI_COUNT]]+Table_Default__XLS_TAB_6[[#This Row],[M_NQTRI_COUNT]]</f>
        <v>236</v>
      </c>
      <c r="E11" s="812" t="s">
        <v>180</v>
      </c>
    </row>
    <row r="12" spans="1:6" ht="21.75" customHeight="1" thickBot="1">
      <c r="A12" s="808" t="s">
        <v>762</v>
      </c>
      <c r="B12" s="809">
        <v>68</v>
      </c>
      <c r="C12" s="809">
        <v>32</v>
      </c>
      <c r="D12" s="810">
        <f>Table_Default__XLS_TAB_6[[#This Row],[M_QTRI_COUNT]]+Table_Default__XLS_TAB_6[[#This Row],[M_NQTRI_COUNT]]</f>
        <v>100</v>
      </c>
      <c r="E12" s="811" t="s">
        <v>179</v>
      </c>
    </row>
    <row r="13" spans="1:6" ht="21.75" customHeight="1" thickBot="1">
      <c r="A13" s="806" t="s">
        <v>763</v>
      </c>
      <c r="B13" s="739">
        <v>15</v>
      </c>
      <c r="C13" s="739">
        <v>3</v>
      </c>
      <c r="D13" s="807">
        <f>Table_Default__XLS_TAB_6[[#This Row],[M_QTRI_COUNT]]+Table_Default__XLS_TAB_6[[#This Row],[M_NQTRI_COUNT]]</f>
        <v>18</v>
      </c>
      <c r="E13" s="812" t="s">
        <v>178</v>
      </c>
    </row>
    <row r="14" spans="1:6" ht="21.75" customHeight="1" thickBot="1">
      <c r="A14" s="808" t="s">
        <v>964</v>
      </c>
      <c r="B14" s="809">
        <v>70</v>
      </c>
      <c r="C14" s="809">
        <v>15</v>
      </c>
      <c r="D14" s="810">
        <f>Table_Default__XLS_TAB_6[[#This Row],[M_QTRI_COUNT]]+Table_Default__XLS_TAB_6[[#This Row],[M_NQTRI_COUNT]]</f>
        <v>85</v>
      </c>
      <c r="E14" s="811" t="s">
        <v>177</v>
      </c>
    </row>
    <row r="15" spans="1:6" ht="21.75" customHeight="1" thickBot="1">
      <c r="A15" s="806" t="s">
        <v>1271</v>
      </c>
      <c r="B15" s="739">
        <v>136</v>
      </c>
      <c r="C15" s="739">
        <v>33</v>
      </c>
      <c r="D15" s="807">
        <f>Table_Default__XLS_TAB_6[[#This Row],[M_QTRI_COUNT]]+Table_Default__XLS_TAB_6[[#This Row],[M_NQTRI_COUNT]]</f>
        <v>169</v>
      </c>
      <c r="E15" s="812" t="s">
        <v>1272</v>
      </c>
    </row>
    <row r="16" spans="1:6" ht="21.75" customHeight="1">
      <c r="A16" s="870" t="s">
        <v>764</v>
      </c>
      <c r="B16" s="871">
        <v>0</v>
      </c>
      <c r="C16" s="871">
        <v>141</v>
      </c>
      <c r="D16" s="872">
        <f>Table_Default__XLS_TAB_6[[#This Row],[M_QTRI_COUNT]]+Table_Default__XLS_TAB_6[[#This Row],[M_NQTRI_COUNT]]</f>
        <v>141</v>
      </c>
      <c r="E16" s="873" t="s">
        <v>745</v>
      </c>
    </row>
    <row r="17" spans="1:5" ht="21.75" customHeight="1">
      <c r="A17" s="906" t="s">
        <v>21</v>
      </c>
      <c r="B17" s="907">
        <f>SUBTOTAL(109,Table_Default__XLS_TAB_6[M_QTRI_COUNT])</f>
        <v>2069</v>
      </c>
      <c r="C17" s="907">
        <f>SUBTOTAL(109,Table_Default__XLS_TAB_6[M_NQTRI_COUNT])</f>
        <v>1655</v>
      </c>
      <c r="D17" s="907">
        <f>SUBTOTAL(109,Table_Default__XLS_TAB_6[M_QTRI_TOT_COUNT])</f>
        <v>3724</v>
      </c>
      <c r="E17" s="908" t="s">
        <v>176</v>
      </c>
    </row>
    <row r="18" spans="1:5" ht="21.75" customHeight="1"/>
  </sheetData>
  <mergeCells count="6">
    <mergeCell ref="B6:D6"/>
    <mergeCell ref="A6:A7"/>
    <mergeCell ref="E6:E7"/>
    <mergeCell ref="A1:E1"/>
    <mergeCell ref="A2:E2"/>
    <mergeCell ref="A3:E3"/>
  </mergeCells>
  <printOptions horizontalCentered="1" verticalCentered="1"/>
  <pageMargins left="0" right="0" top="0" bottom="0" header="0" footer="0"/>
  <pageSetup paperSize="9" orientation="landscape" horizontalDpi="4294967295" verticalDpi="4294967295" r:id="rId1"/>
  <headerFooter alignWithMargins="0"/>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rightToLeft="1" view="pageBreakPreview" zoomScaleNormal="100" zoomScaleSheetLayoutView="100" workbookViewId="0">
      <selection activeCell="F5" sqref="F5"/>
    </sheetView>
  </sheetViews>
  <sheetFormatPr defaultColWidth="9.140625" defaultRowHeight="12.75"/>
  <cols>
    <col min="1" max="1" width="3.7109375" style="1" customWidth="1"/>
    <col min="2" max="2" width="42.28515625" style="1" customWidth="1"/>
    <col min="3" max="3" width="5.140625" style="1" customWidth="1"/>
    <col min="4" max="4" width="43.7109375" style="1" customWidth="1"/>
    <col min="5" max="16384" width="9.140625" style="1"/>
  </cols>
  <sheetData>
    <row r="1" spans="1:4" ht="33.75" customHeight="1">
      <c r="B1" s="673" t="s">
        <v>76</v>
      </c>
      <c r="C1" s="674"/>
      <c r="D1" s="672" t="s">
        <v>65</v>
      </c>
    </row>
    <row r="2" spans="1:4" ht="15.75" customHeight="1">
      <c r="B2" s="559"/>
      <c r="C2" s="532"/>
      <c r="D2" s="671"/>
    </row>
    <row r="3" spans="1:4" ht="96.75" customHeight="1">
      <c r="A3" s="28"/>
      <c r="B3" s="32" t="s">
        <v>959</v>
      </c>
      <c r="D3" s="31" t="s">
        <v>27</v>
      </c>
    </row>
    <row r="4" spans="1:4" ht="162" customHeight="1">
      <c r="A4" s="28"/>
      <c r="B4" s="32" t="s">
        <v>965</v>
      </c>
      <c r="D4" s="31" t="s">
        <v>962</v>
      </c>
    </row>
    <row r="5" spans="1:4" ht="85.5">
      <c r="A5" s="30"/>
      <c r="B5" s="32" t="s">
        <v>1045</v>
      </c>
      <c r="D5" s="31" t="s">
        <v>1269</v>
      </c>
    </row>
    <row r="6" spans="1:4" ht="39" customHeight="1">
      <c r="A6" s="30"/>
      <c r="B6" s="29"/>
      <c r="D6" s="28"/>
    </row>
    <row r="7" spans="1:4" ht="19.5">
      <c r="A7" s="26"/>
      <c r="B7" s="27"/>
      <c r="D7" s="26"/>
    </row>
    <row r="8" spans="1:4" ht="18">
      <c r="A8" s="25"/>
      <c r="B8" s="24" t="s">
        <v>929</v>
      </c>
      <c r="D8" s="568" t="s">
        <v>1011</v>
      </c>
    </row>
    <row r="9" spans="1:4" ht="18">
      <c r="A9" s="23"/>
      <c r="B9" s="22" t="s">
        <v>930</v>
      </c>
      <c r="D9" s="569" t="s">
        <v>931</v>
      </c>
    </row>
    <row r="10" spans="1:4" ht="26.25">
      <c r="A10" s="20"/>
      <c r="B10" s="21"/>
      <c r="D10" s="20"/>
    </row>
  </sheetData>
  <printOptions horizontalCentered="1"/>
  <pageMargins left="0.35433070866141736" right="0.35433070866141736" top="0.98425196850393704" bottom="0.98425196850393704" header="0.51181102362204722" footer="0.51181102362204722"/>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rightToLeft="1" view="pageBreakPreview" zoomScaleNormal="100" zoomScaleSheetLayoutView="100" workbookViewId="0">
      <selection activeCell="B20" sqref="B20"/>
    </sheetView>
  </sheetViews>
  <sheetFormatPr defaultColWidth="9.140625" defaultRowHeight="12.75"/>
  <cols>
    <col min="1" max="1" width="18.5703125" style="2" customWidth="1"/>
    <col min="2" max="4" width="28" style="2" customWidth="1"/>
    <col min="5" max="5" width="19.7109375" style="2" customWidth="1"/>
    <col min="6" max="6" width="19.5703125" style="2" customWidth="1"/>
    <col min="7" max="7" width="23" style="2" customWidth="1"/>
    <col min="8" max="8" width="16" style="2" customWidth="1"/>
    <col min="9" max="16384" width="9.140625" style="2"/>
  </cols>
  <sheetData>
    <row r="1" spans="1:6" ht="18">
      <c r="A1" s="974" t="s">
        <v>1022</v>
      </c>
      <c r="B1" s="974"/>
      <c r="C1" s="974"/>
      <c r="D1" s="974"/>
      <c r="E1" s="974"/>
    </row>
    <row r="2" spans="1:6" ht="36.75" customHeight="1">
      <c r="A2" s="975" t="s">
        <v>1266</v>
      </c>
      <c r="B2" s="975"/>
      <c r="C2" s="975"/>
      <c r="D2" s="975"/>
      <c r="E2" s="975"/>
    </row>
    <row r="3" spans="1:6" ht="15.75">
      <c r="A3" s="959">
        <v>2015</v>
      </c>
      <c r="B3" s="959"/>
      <c r="C3" s="959"/>
      <c r="D3" s="959"/>
      <c r="E3" s="959"/>
    </row>
    <row r="4" spans="1:6" ht="15.75">
      <c r="A4" s="869"/>
      <c r="B4" s="869"/>
      <c r="C4" s="869"/>
      <c r="D4" s="869"/>
      <c r="E4" s="869"/>
    </row>
    <row r="5" spans="1:6" ht="20.25" customHeight="1">
      <c r="A5" s="636" t="s">
        <v>1036</v>
      </c>
      <c r="B5" s="644"/>
      <c r="C5" s="645"/>
      <c r="D5" s="645"/>
      <c r="E5" s="643" t="s">
        <v>1035</v>
      </c>
      <c r="F5" s="94"/>
    </row>
    <row r="6" spans="1:6" ht="33" customHeight="1" thickBot="1">
      <c r="A6" s="970" t="s">
        <v>1023</v>
      </c>
      <c r="B6" s="969" t="s">
        <v>189</v>
      </c>
      <c r="C6" s="969"/>
      <c r="D6" s="969"/>
      <c r="E6" s="972" t="s">
        <v>1024</v>
      </c>
    </row>
    <row r="7" spans="1:6" ht="30.75" customHeight="1">
      <c r="A7" s="971"/>
      <c r="B7" s="876" t="s">
        <v>1043</v>
      </c>
      <c r="C7" s="876" t="s">
        <v>774</v>
      </c>
      <c r="D7" s="876" t="s">
        <v>772</v>
      </c>
      <c r="E7" s="973"/>
    </row>
    <row r="8" spans="1:6" ht="21.75" customHeight="1" thickBot="1">
      <c r="A8" s="813" t="s">
        <v>758</v>
      </c>
      <c r="B8" s="814">
        <v>462</v>
      </c>
      <c r="C8" s="814">
        <v>671</v>
      </c>
      <c r="D8" s="815">
        <f>Table_Default__XLS_TAB_652[[#This Row],[M_QTRI_COUNT]]+Table_Default__XLS_TAB_652[[#This Row],[M_NQTRI_COUNT]]</f>
        <v>1133</v>
      </c>
      <c r="E8" s="816" t="s">
        <v>183</v>
      </c>
    </row>
    <row r="9" spans="1:6" ht="21.75" customHeight="1" thickBot="1">
      <c r="A9" s="806" t="s">
        <v>759</v>
      </c>
      <c r="B9" s="739">
        <v>978</v>
      </c>
      <c r="C9" s="739">
        <v>654</v>
      </c>
      <c r="D9" s="807">
        <f>Table_Default__XLS_TAB_652[[#This Row],[M_QTRI_COUNT]]+Table_Default__XLS_TAB_652[[#This Row],[M_NQTRI_COUNT]]</f>
        <v>1632</v>
      </c>
      <c r="E9" s="812" t="s">
        <v>182</v>
      </c>
    </row>
    <row r="10" spans="1:6" ht="21.75" customHeight="1" thickBot="1">
      <c r="A10" s="808" t="s">
        <v>760</v>
      </c>
      <c r="B10" s="809">
        <v>101</v>
      </c>
      <c r="C10" s="809">
        <v>131</v>
      </c>
      <c r="D10" s="810">
        <f>Table_Default__XLS_TAB_652[[#This Row],[M_QTRI_COUNT]]+Table_Default__XLS_TAB_652[[#This Row],[M_NQTRI_COUNT]]</f>
        <v>232</v>
      </c>
      <c r="E10" s="811" t="s">
        <v>181</v>
      </c>
    </row>
    <row r="11" spans="1:6" ht="21.75" customHeight="1" thickBot="1">
      <c r="A11" s="806" t="s">
        <v>761</v>
      </c>
      <c r="B11" s="739">
        <v>149</v>
      </c>
      <c r="C11" s="739">
        <v>112</v>
      </c>
      <c r="D11" s="807">
        <f>Table_Default__XLS_TAB_652[[#This Row],[M_QTRI_COUNT]]+Table_Default__XLS_TAB_652[[#This Row],[M_NQTRI_COUNT]]</f>
        <v>261</v>
      </c>
      <c r="E11" s="812" t="s">
        <v>180</v>
      </c>
    </row>
    <row r="12" spans="1:6" ht="21.75" customHeight="1" thickBot="1">
      <c r="A12" s="808" t="s">
        <v>762</v>
      </c>
      <c r="B12" s="809">
        <v>64</v>
      </c>
      <c r="C12" s="809">
        <v>32</v>
      </c>
      <c r="D12" s="810">
        <f>Table_Default__XLS_TAB_652[[#This Row],[M_QTRI_COUNT]]+Table_Default__XLS_TAB_652[[#This Row],[M_NQTRI_COUNT]]</f>
        <v>96</v>
      </c>
      <c r="E12" s="811" t="s">
        <v>179</v>
      </c>
    </row>
    <row r="13" spans="1:6" ht="21.75" customHeight="1" thickBot="1">
      <c r="A13" s="806" t="s">
        <v>763</v>
      </c>
      <c r="B13" s="739">
        <v>12</v>
      </c>
      <c r="C13" s="739">
        <v>5</v>
      </c>
      <c r="D13" s="807">
        <f>Table_Default__XLS_TAB_652[[#This Row],[M_QTRI_COUNT]]+Table_Default__XLS_TAB_652[[#This Row],[M_NQTRI_COUNT]]</f>
        <v>17</v>
      </c>
      <c r="E13" s="812" t="s">
        <v>178</v>
      </c>
    </row>
    <row r="14" spans="1:6" ht="21.75" customHeight="1" thickBot="1">
      <c r="A14" s="808" t="s">
        <v>964</v>
      </c>
      <c r="B14" s="809">
        <v>64</v>
      </c>
      <c r="C14" s="809">
        <v>34</v>
      </c>
      <c r="D14" s="810">
        <f>Table_Default__XLS_TAB_652[[#This Row],[M_QTRI_COUNT]]+Table_Default__XLS_TAB_652[[#This Row],[M_NQTRI_COUNT]]</f>
        <v>98</v>
      </c>
      <c r="E14" s="811" t="s">
        <v>177</v>
      </c>
    </row>
    <row r="15" spans="1:6" ht="21.75" customHeight="1" thickBot="1">
      <c r="A15" s="806" t="s">
        <v>1271</v>
      </c>
      <c r="B15" s="739">
        <v>163</v>
      </c>
      <c r="C15" s="739">
        <v>43</v>
      </c>
      <c r="D15" s="807">
        <f>Table_Default__XLS_TAB_652[[#This Row],[M_QTRI_COUNT]]+Table_Default__XLS_TAB_652[[#This Row],[M_NQTRI_COUNT]]</f>
        <v>206</v>
      </c>
      <c r="E15" s="812" t="s">
        <v>1272</v>
      </c>
    </row>
    <row r="16" spans="1:6" ht="21.75" customHeight="1">
      <c r="A16" s="870" t="s">
        <v>764</v>
      </c>
      <c r="B16" s="871">
        <v>0</v>
      </c>
      <c r="C16" s="871">
        <v>49</v>
      </c>
      <c r="D16" s="872">
        <f>Table_Default__XLS_TAB_652[[#This Row],[M_QTRI_COUNT]]+Table_Default__XLS_TAB_652[[#This Row],[M_NQTRI_COUNT]]</f>
        <v>49</v>
      </c>
      <c r="E16" s="873" t="s">
        <v>745</v>
      </c>
    </row>
    <row r="17" spans="1:5" ht="21.75" customHeight="1">
      <c r="A17" s="906" t="s">
        <v>21</v>
      </c>
      <c r="B17" s="907">
        <f>SUBTOTAL(109,Table_Default__XLS_TAB_652[M_QTRI_COUNT])</f>
        <v>1993</v>
      </c>
      <c r="C17" s="907">
        <f>SUBTOTAL(109,Table_Default__XLS_TAB_652[M_NQTRI_COUNT])</f>
        <v>1731</v>
      </c>
      <c r="D17" s="907">
        <f>SUBTOTAL(109,Table_Default__XLS_TAB_652[M_QTRI_TOT_COUNT])</f>
        <v>3724</v>
      </c>
      <c r="E17" s="908" t="s">
        <v>176</v>
      </c>
    </row>
    <row r="18" spans="1:5" ht="21.75" customHeight="1"/>
  </sheetData>
  <mergeCells count="6">
    <mergeCell ref="A1:E1"/>
    <mergeCell ref="A2:E2"/>
    <mergeCell ref="A3:E3"/>
    <mergeCell ref="A6:A7"/>
    <mergeCell ref="B6:D6"/>
    <mergeCell ref="E6:E7"/>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5:J55"/>
  <sheetViews>
    <sheetView rightToLeft="1" view="pageBreakPreview" topLeftCell="A22" zoomScaleNormal="100" zoomScaleSheetLayoutView="100" workbookViewId="0">
      <selection activeCell="N41" sqref="N41"/>
    </sheetView>
  </sheetViews>
  <sheetFormatPr defaultColWidth="9.140625" defaultRowHeight="12.75"/>
  <cols>
    <col min="1" max="16384" width="9.140625" style="1"/>
  </cols>
  <sheetData>
    <row r="55" spans="1:10">
      <c r="A55" s="945" t="s">
        <v>192</v>
      </c>
      <c r="B55" s="976"/>
      <c r="C55" s="976"/>
      <c r="D55" s="976"/>
      <c r="E55" s="976"/>
      <c r="F55" s="976"/>
      <c r="G55" s="976"/>
      <c r="H55" s="976"/>
      <c r="I55" s="976"/>
      <c r="J55" s="976"/>
    </row>
  </sheetData>
  <mergeCells count="1">
    <mergeCell ref="A55:J55"/>
  </mergeCells>
  <printOptions horizontalCentered="1" verticalCentered="1"/>
  <pageMargins left="0" right="0" top="0" bottom="0"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rightToLeft="1" view="pageBreakPreview" zoomScaleNormal="100" zoomScaleSheetLayoutView="100" workbookViewId="0">
      <selection activeCell="C10" sqref="C10"/>
    </sheetView>
  </sheetViews>
  <sheetFormatPr defaultColWidth="9.140625" defaultRowHeight="12.75"/>
  <cols>
    <col min="1" max="1" width="18.28515625" style="2" customWidth="1"/>
    <col min="2" max="2" width="19.140625" style="2" customWidth="1"/>
    <col min="3" max="3" width="15.7109375" style="2" customWidth="1"/>
    <col min="4" max="4" width="14.28515625" style="2" customWidth="1"/>
    <col min="5" max="5" width="15.7109375" style="2" customWidth="1"/>
    <col min="6" max="6" width="16.140625" style="2" customWidth="1"/>
    <col min="7" max="7" width="12.140625" style="2" customWidth="1"/>
    <col min="8" max="8" width="16.140625" style="2" customWidth="1"/>
    <col min="9" max="16384" width="9.140625" style="2"/>
  </cols>
  <sheetData>
    <row r="1" spans="1:9" ht="18">
      <c r="A1" s="934" t="s">
        <v>220</v>
      </c>
      <c r="B1" s="934"/>
      <c r="C1" s="934"/>
      <c r="D1" s="934"/>
      <c r="E1" s="934"/>
      <c r="F1" s="934"/>
      <c r="G1" s="934"/>
      <c r="H1" s="934"/>
    </row>
    <row r="2" spans="1:9" ht="36" customHeight="1">
      <c r="A2" s="958" t="s">
        <v>219</v>
      </c>
      <c r="B2" s="958"/>
      <c r="C2" s="958"/>
      <c r="D2" s="958"/>
      <c r="E2" s="958"/>
      <c r="F2" s="958"/>
      <c r="G2" s="958"/>
      <c r="H2" s="958"/>
    </row>
    <row r="3" spans="1:9" ht="15.75">
      <c r="A3" s="959">
        <v>2015</v>
      </c>
      <c r="B3" s="959"/>
      <c r="C3" s="959"/>
      <c r="D3" s="959"/>
      <c r="E3" s="959"/>
      <c r="F3" s="959"/>
      <c r="G3" s="959"/>
      <c r="H3" s="959"/>
    </row>
    <row r="4" spans="1:9" s="93" customFormat="1" ht="20.25" customHeight="1">
      <c r="A4" s="636" t="s">
        <v>252</v>
      </c>
      <c r="B4" s="644"/>
      <c r="C4" s="822"/>
      <c r="D4" s="822"/>
      <c r="E4" s="822"/>
      <c r="F4" s="822"/>
      <c r="G4" s="643"/>
      <c r="H4" s="643" t="s">
        <v>611</v>
      </c>
      <c r="I4" s="94"/>
    </row>
    <row r="5" spans="1:9" ht="30.75" customHeight="1" thickBot="1">
      <c r="A5" s="970" t="s">
        <v>218</v>
      </c>
      <c r="B5" s="969" t="s">
        <v>190</v>
      </c>
      <c r="C5" s="969"/>
      <c r="D5" s="969"/>
      <c r="E5" s="969" t="s">
        <v>189</v>
      </c>
      <c r="F5" s="969"/>
      <c r="G5" s="969"/>
      <c r="H5" s="972" t="s">
        <v>217</v>
      </c>
    </row>
    <row r="6" spans="1:9" ht="30.75" customHeight="1">
      <c r="A6" s="977"/>
      <c r="B6" s="737" t="s">
        <v>770</v>
      </c>
      <c r="C6" s="737" t="s">
        <v>771</v>
      </c>
      <c r="D6" s="737" t="s">
        <v>772</v>
      </c>
      <c r="E6" s="737" t="s">
        <v>773</v>
      </c>
      <c r="F6" s="737" t="s">
        <v>774</v>
      </c>
      <c r="G6" s="737" t="s">
        <v>772</v>
      </c>
      <c r="H6" s="978"/>
    </row>
    <row r="7" spans="1:9" ht="21.75" customHeight="1" thickBot="1">
      <c r="A7" s="258" t="s">
        <v>216</v>
      </c>
      <c r="B7" s="580">
        <v>169</v>
      </c>
      <c r="C7" s="580">
        <v>143</v>
      </c>
      <c r="D7" s="581">
        <f>Table_Default__XLS_TAB_7[[#This Row],[M_QTRI_COUNT]]+Table_Default__XLS_TAB_7[[#This Row],[M_NQTRI_COUNT]]</f>
        <v>312</v>
      </c>
      <c r="E7" s="580">
        <v>160</v>
      </c>
      <c r="F7" s="580">
        <v>152</v>
      </c>
      <c r="G7" s="581">
        <f>Table_Default__XLS_TAB_7[[#This Row],[W_QTRI_COUNT]]+Table_Default__XLS_TAB_7[[#This Row],[W_NQTRI_COUNT]]</f>
        <v>312</v>
      </c>
      <c r="H7" s="259" t="s">
        <v>215</v>
      </c>
    </row>
    <row r="8" spans="1:9" ht="21.75" customHeight="1" thickBot="1">
      <c r="A8" s="108" t="s">
        <v>214</v>
      </c>
      <c r="B8" s="229">
        <v>151</v>
      </c>
      <c r="C8" s="229">
        <v>124</v>
      </c>
      <c r="D8" s="581">
        <f>Table_Default__XLS_TAB_7[[#This Row],[M_QTRI_COUNT]]+Table_Default__XLS_TAB_7[[#This Row],[M_NQTRI_COUNT]]</f>
        <v>275</v>
      </c>
      <c r="E8" s="229">
        <v>146</v>
      </c>
      <c r="F8" s="229">
        <v>129</v>
      </c>
      <c r="G8" s="581">
        <f>Table_Default__XLS_TAB_7[[#This Row],[W_QTRI_COUNT]]+Table_Default__XLS_TAB_7[[#This Row],[W_NQTRI_COUNT]]</f>
        <v>275</v>
      </c>
      <c r="H8" s="107" t="s">
        <v>213</v>
      </c>
    </row>
    <row r="9" spans="1:9" ht="21.75" customHeight="1" thickBot="1">
      <c r="A9" s="260" t="s">
        <v>212</v>
      </c>
      <c r="B9" s="229">
        <v>185</v>
      </c>
      <c r="C9" s="229">
        <v>166</v>
      </c>
      <c r="D9" s="581">
        <f>Table_Default__XLS_TAB_7[[#This Row],[M_QTRI_COUNT]]+Table_Default__XLS_TAB_7[[#This Row],[M_NQTRI_COUNT]]</f>
        <v>351</v>
      </c>
      <c r="E9" s="229">
        <v>182</v>
      </c>
      <c r="F9" s="229">
        <v>169</v>
      </c>
      <c r="G9" s="581">
        <f>Table_Default__XLS_TAB_7[[#This Row],[W_QTRI_COUNT]]+Table_Default__XLS_TAB_7[[#This Row],[W_NQTRI_COUNT]]</f>
        <v>351</v>
      </c>
      <c r="H9" s="106" t="s">
        <v>211</v>
      </c>
    </row>
    <row r="10" spans="1:9" ht="21.75" customHeight="1" thickBot="1">
      <c r="A10" s="108" t="s">
        <v>210</v>
      </c>
      <c r="B10" s="229">
        <v>188</v>
      </c>
      <c r="C10" s="229">
        <v>166</v>
      </c>
      <c r="D10" s="581">
        <f>Table_Default__XLS_TAB_7[[#This Row],[M_QTRI_COUNT]]+Table_Default__XLS_TAB_7[[#This Row],[M_NQTRI_COUNT]]</f>
        <v>354</v>
      </c>
      <c r="E10" s="229">
        <v>176</v>
      </c>
      <c r="F10" s="229">
        <v>178</v>
      </c>
      <c r="G10" s="581">
        <f>Table_Default__XLS_TAB_7[[#This Row],[W_QTRI_COUNT]]+Table_Default__XLS_TAB_7[[#This Row],[W_NQTRI_COUNT]]</f>
        <v>354</v>
      </c>
      <c r="H10" s="107" t="s">
        <v>209</v>
      </c>
    </row>
    <row r="11" spans="1:9" ht="21.75" customHeight="1" thickBot="1">
      <c r="A11" s="260" t="s">
        <v>208</v>
      </c>
      <c r="B11" s="229">
        <v>176</v>
      </c>
      <c r="C11" s="229">
        <v>166</v>
      </c>
      <c r="D11" s="581">
        <f>Table_Default__XLS_TAB_7[[#This Row],[M_QTRI_COUNT]]+Table_Default__XLS_TAB_7[[#This Row],[M_NQTRI_COUNT]]</f>
        <v>342</v>
      </c>
      <c r="E11" s="229">
        <v>170</v>
      </c>
      <c r="F11" s="229">
        <v>172</v>
      </c>
      <c r="G11" s="581">
        <f>Table_Default__XLS_TAB_7[[#This Row],[W_QTRI_COUNT]]+Table_Default__XLS_TAB_7[[#This Row],[W_NQTRI_COUNT]]</f>
        <v>342</v>
      </c>
      <c r="H11" s="106" t="s">
        <v>207</v>
      </c>
    </row>
    <row r="12" spans="1:9" ht="21.75" customHeight="1" thickBot="1">
      <c r="A12" s="108" t="s">
        <v>206</v>
      </c>
      <c r="B12" s="229">
        <v>177</v>
      </c>
      <c r="C12" s="229">
        <v>148</v>
      </c>
      <c r="D12" s="581">
        <f>Table_Default__XLS_TAB_7[[#This Row],[M_QTRI_COUNT]]+Table_Default__XLS_TAB_7[[#This Row],[M_NQTRI_COUNT]]</f>
        <v>325</v>
      </c>
      <c r="E12" s="229">
        <v>170</v>
      </c>
      <c r="F12" s="229">
        <v>155</v>
      </c>
      <c r="G12" s="581">
        <f>Table_Default__XLS_TAB_7[[#This Row],[W_QTRI_COUNT]]+Table_Default__XLS_TAB_7[[#This Row],[W_NQTRI_COUNT]]</f>
        <v>325</v>
      </c>
      <c r="H12" s="107" t="s">
        <v>205</v>
      </c>
    </row>
    <row r="13" spans="1:9" ht="21.75" customHeight="1" thickBot="1">
      <c r="A13" s="260" t="s">
        <v>204</v>
      </c>
      <c r="B13" s="229">
        <v>172</v>
      </c>
      <c r="C13" s="229">
        <v>113</v>
      </c>
      <c r="D13" s="581">
        <f>Table_Default__XLS_TAB_7[[#This Row],[M_QTRI_COUNT]]+Table_Default__XLS_TAB_7[[#This Row],[M_NQTRI_COUNT]]</f>
        <v>285</v>
      </c>
      <c r="E13" s="229">
        <v>160</v>
      </c>
      <c r="F13" s="229">
        <v>125</v>
      </c>
      <c r="G13" s="581">
        <f>Table_Default__XLS_TAB_7[[#This Row],[W_QTRI_COUNT]]+Table_Default__XLS_TAB_7[[#This Row],[W_NQTRI_COUNT]]</f>
        <v>285</v>
      </c>
      <c r="H13" s="106" t="s">
        <v>203</v>
      </c>
    </row>
    <row r="14" spans="1:9" ht="21.75" customHeight="1" thickBot="1">
      <c r="A14" s="108" t="s">
        <v>202</v>
      </c>
      <c r="B14" s="229">
        <v>152</v>
      </c>
      <c r="C14" s="229">
        <v>125</v>
      </c>
      <c r="D14" s="581">
        <f>Table_Default__XLS_TAB_7[[#This Row],[M_QTRI_COUNT]]+Table_Default__XLS_TAB_7[[#This Row],[M_NQTRI_COUNT]]</f>
        <v>277</v>
      </c>
      <c r="E14" s="229">
        <v>149</v>
      </c>
      <c r="F14" s="229">
        <v>128</v>
      </c>
      <c r="G14" s="581">
        <f>Table_Default__XLS_TAB_7[[#This Row],[W_QTRI_COUNT]]+Table_Default__XLS_TAB_7[[#This Row],[W_NQTRI_COUNT]]</f>
        <v>277</v>
      </c>
      <c r="H14" s="107" t="s">
        <v>201</v>
      </c>
    </row>
    <row r="15" spans="1:9" ht="21.75" customHeight="1" thickBot="1">
      <c r="A15" s="260" t="s">
        <v>200</v>
      </c>
      <c r="B15" s="229">
        <v>184</v>
      </c>
      <c r="C15" s="229">
        <v>127</v>
      </c>
      <c r="D15" s="581">
        <f>Table_Default__XLS_TAB_7[[#This Row],[M_QTRI_COUNT]]+Table_Default__XLS_TAB_7[[#This Row],[M_NQTRI_COUNT]]</f>
        <v>311</v>
      </c>
      <c r="E15" s="229">
        <v>180</v>
      </c>
      <c r="F15" s="229">
        <v>131</v>
      </c>
      <c r="G15" s="581">
        <f>Table_Default__XLS_TAB_7[[#This Row],[W_QTRI_COUNT]]+Table_Default__XLS_TAB_7[[#This Row],[W_NQTRI_COUNT]]</f>
        <v>311</v>
      </c>
      <c r="H15" s="106" t="s">
        <v>199</v>
      </c>
    </row>
    <row r="16" spans="1:9" ht="21.75" customHeight="1" thickBot="1">
      <c r="A16" s="108" t="s">
        <v>198</v>
      </c>
      <c r="B16" s="229">
        <v>192</v>
      </c>
      <c r="C16" s="229">
        <v>135</v>
      </c>
      <c r="D16" s="581">
        <f>Table_Default__XLS_TAB_7[[#This Row],[M_QTRI_COUNT]]+Table_Default__XLS_TAB_7[[#This Row],[M_NQTRI_COUNT]]</f>
        <v>327</v>
      </c>
      <c r="E16" s="229">
        <v>180</v>
      </c>
      <c r="F16" s="229">
        <v>147</v>
      </c>
      <c r="G16" s="581">
        <f>Table_Default__XLS_TAB_7[[#This Row],[W_QTRI_COUNT]]+Table_Default__XLS_TAB_7[[#This Row],[W_NQTRI_COUNT]]</f>
        <v>327</v>
      </c>
      <c r="H16" s="107" t="s">
        <v>197</v>
      </c>
    </row>
    <row r="17" spans="1:8" ht="21.75" customHeight="1" thickBot="1">
      <c r="A17" s="260" t="s">
        <v>196</v>
      </c>
      <c r="B17" s="229">
        <v>164</v>
      </c>
      <c r="C17" s="229">
        <v>118</v>
      </c>
      <c r="D17" s="581">
        <f>Table_Default__XLS_TAB_7[[#This Row],[M_QTRI_COUNT]]+Table_Default__XLS_TAB_7[[#This Row],[M_NQTRI_COUNT]]</f>
        <v>282</v>
      </c>
      <c r="E17" s="229">
        <v>159</v>
      </c>
      <c r="F17" s="229">
        <v>123</v>
      </c>
      <c r="G17" s="581">
        <f>Table_Default__XLS_TAB_7[[#This Row],[W_QTRI_COUNT]]+Table_Default__XLS_TAB_7[[#This Row],[W_NQTRI_COUNT]]</f>
        <v>282</v>
      </c>
      <c r="H17" s="106" t="s">
        <v>195</v>
      </c>
    </row>
    <row r="18" spans="1:8" ht="21.75" customHeight="1">
      <c r="A18" s="357" t="s">
        <v>194</v>
      </c>
      <c r="B18" s="820">
        <v>159</v>
      </c>
      <c r="C18" s="820">
        <v>124</v>
      </c>
      <c r="D18" s="821">
        <f>Table_Default__XLS_TAB_7[[#This Row],[M_QTRI_COUNT]]+Table_Default__XLS_TAB_7[[#This Row],[M_NQTRI_COUNT]]</f>
        <v>283</v>
      </c>
      <c r="E18" s="820">
        <v>161</v>
      </c>
      <c r="F18" s="820">
        <v>122</v>
      </c>
      <c r="G18" s="821">
        <f>Table_Default__XLS_TAB_7[[#This Row],[W_QTRI_COUNT]]+Table_Default__XLS_TAB_7[[#This Row],[W_NQTRI_COUNT]]</f>
        <v>283</v>
      </c>
      <c r="H18" s="359" t="s">
        <v>193</v>
      </c>
    </row>
    <row r="19" spans="1:8" ht="21.75" customHeight="1">
      <c r="A19" s="817" t="s">
        <v>21</v>
      </c>
      <c r="B19" s="818">
        <f>SUM(B7:B18)</f>
        <v>2069</v>
      </c>
      <c r="C19" s="818">
        <f>SUM(Table_Default__XLS_TAB_7[M_NQTRI_COUNT])</f>
        <v>1655</v>
      </c>
      <c r="D19" s="818">
        <f>SUM(Table_Default__XLS_TAB_7[M_QTRI_TOT_COUNT])</f>
        <v>3724</v>
      </c>
      <c r="E19" s="818">
        <f>SUM(Table_Default__XLS_TAB_7[W_QTRI_COUNT])</f>
        <v>1993</v>
      </c>
      <c r="F19" s="818">
        <f>SUM(Table_Default__XLS_TAB_7[W_NQTRI_COUNT])</f>
        <v>1731</v>
      </c>
      <c r="G19" s="818">
        <f>SUM(Table_Default__XLS_TAB_7[W_QTRI_TOT_COUNT])</f>
        <v>3724</v>
      </c>
      <c r="H19" s="819" t="s">
        <v>176</v>
      </c>
    </row>
  </sheetData>
  <mergeCells count="7">
    <mergeCell ref="A5:A6"/>
    <mergeCell ref="B5:D5"/>
    <mergeCell ref="E5:G5"/>
    <mergeCell ref="H5:H6"/>
    <mergeCell ref="A1:H1"/>
    <mergeCell ref="A2:H2"/>
    <mergeCell ref="A3:H3"/>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rightToLeft="1" view="pageBreakPreview" zoomScaleNormal="100" zoomScaleSheetLayoutView="100" workbookViewId="0">
      <selection activeCell="M12" sqref="M12"/>
    </sheetView>
  </sheetViews>
  <sheetFormatPr defaultColWidth="9.140625" defaultRowHeight="12.75"/>
  <cols>
    <col min="1" max="1" width="19.85546875" style="1" customWidth="1"/>
    <col min="2" max="8" width="13.42578125" style="1" customWidth="1"/>
    <col min="9" max="9" width="13.5703125" style="1" customWidth="1"/>
    <col min="10" max="10" width="23.7109375" style="1" customWidth="1"/>
    <col min="11" max="16384" width="9.140625" style="1"/>
  </cols>
  <sheetData>
    <row r="1" spans="1:10" ht="24" customHeight="1">
      <c r="A1" s="974" t="s">
        <v>254</v>
      </c>
      <c r="B1" s="974"/>
      <c r="C1" s="974"/>
      <c r="D1" s="974"/>
      <c r="E1" s="974"/>
      <c r="F1" s="974"/>
      <c r="G1" s="974"/>
      <c r="H1" s="974"/>
      <c r="I1" s="974"/>
      <c r="J1" s="974"/>
    </row>
    <row r="2" spans="1:10" ht="15.75" customHeight="1">
      <c r="A2" s="983" t="s">
        <v>253</v>
      </c>
      <c r="B2" s="983"/>
      <c r="C2" s="983"/>
      <c r="D2" s="983"/>
      <c r="E2" s="983"/>
      <c r="F2" s="983"/>
      <c r="G2" s="983"/>
      <c r="H2" s="983"/>
      <c r="I2" s="983"/>
      <c r="J2" s="983"/>
    </row>
    <row r="3" spans="1:10" ht="15.75" customHeight="1">
      <c r="A3" s="983">
        <v>2015</v>
      </c>
      <c r="B3" s="983"/>
      <c r="C3" s="983"/>
      <c r="D3" s="983"/>
      <c r="E3" s="983"/>
      <c r="F3" s="983"/>
      <c r="G3" s="983"/>
      <c r="H3" s="983"/>
      <c r="I3" s="983"/>
      <c r="J3" s="983"/>
    </row>
    <row r="4" spans="1:10" ht="15.75" customHeight="1">
      <c r="A4" s="647"/>
      <c r="B4" s="647"/>
      <c r="C4" s="647"/>
      <c r="D4" s="647"/>
      <c r="E4" s="647"/>
      <c r="F4" s="647"/>
      <c r="G4" s="647"/>
      <c r="H4" s="647"/>
      <c r="I4" s="647"/>
      <c r="J4" s="647"/>
    </row>
    <row r="5" spans="1:10" s="93" customFormat="1" ht="16.5">
      <c r="A5" s="636" t="s">
        <v>272</v>
      </c>
      <c r="B5" s="636"/>
      <c r="C5" s="637"/>
      <c r="D5" s="638"/>
      <c r="E5" s="638"/>
      <c r="F5" s="638"/>
      <c r="G5" s="638"/>
      <c r="H5" s="638"/>
      <c r="I5" s="643"/>
      <c r="J5" s="643" t="s">
        <v>271</v>
      </c>
    </row>
    <row r="6" spans="1:10" ht="30" customHeight="1" thickBot="1">
      <c r="A6" s="937" t="s">
        <v>251</v>
      </c>
      <c r="B6" s="965" t="s">
        <v>250</v>
      </c>
      <c r="C6" s="984"/>
      <c r="D6" s="984"/>
      <c r="E6" s="984"/>
      <c r="F6" s="984"/>
      <c r="G6" s="984"/>
      <c r="H6" s="967"/>
      <c r="I6" s="980" t="s">
        <v>249</v>
      </c>
      <c r="J6" s="942" t="s">
        <v>248</v>
      </c>
    </row>
    <row r="7" spans="1:10" ht="73.5" customHeight="1">
      <c r="A7" s="979"/>
      <c r="B7" s="736" t="s">
        <v>247</v>
      </c>
      <c r="C7" s="736" t="s">
        <v>246</v>
      </c>
      <c r="D7" s="736" t="s">
        <v>245</v>
      </c>
      <c r="E7" s="736" t="s">
        <v>244</v>
      </c>
      <c r="F7" s="736" t="s">
        <v>243</v>
      </c>
      <c r="G7" s="736" t="s">
        <v>242</v>
      </c>
      <c r="H7" s="736" t="s">
        <v>241</v>
      </c>
      <c r="I7" s="981"/>
      <c r="J7" s="982"/>
    </row>
    <row r="8" spans="1:10" ht="30.75" customHeight="1" thickBot="1">
      <c r="A8" s="258" t="s">
        <v>240</v>
      </c>
      <c r="B8" s="593">
        <v>1797</v>
      </c>
      <c r="C8" s="593">
        <v>117</v>
      </c>
      <c r="D8" s="593">
        <v>111</v>
      </c>
      <c r="E8" s="593">
        <v>35</v>
      </c>
      <c r="F8" s="593">
        <v>4</v>
      </c>
      <c r="G8" s="593">
        <v>5</v>
      </c>
      <c r="H8" s="860">
        <f>SUM(B8:G8)</f>
        <v>2069</v>
      </c>
      <c r="I8" s="262">
        <f>SUM(H8/$H$14)*100</f>
        <v>55.558539205155746</v>
      </c>
      <c r="J8" s="259" t="s">
        <v>239</v>
      </c>
    </row>
    <row r="9" spans="1:10" ht="30.75" customHeight="1" thickBot="1">
      <c r="A9" s="108" t="s">
        <v>238</v>
      </c>
      <c r="B9" s="594">
        <v>142</v>
      </c>
      <c r="C9" s="594">
        <v>15</v>
      </c>
      <c r="D9" s="594">
        <v>12</v>
      </c>
      <c r="E9" s="594">
        <v>7</v>
      </c>
      <c r="F9" s="594">
        <v>0</v>
      </c>
      <c r="G9" s="594">
        <v>0</v>
      </c>
      <c r="H9" s="860">
        <f t="shared" ref="H9:H13" si="0">SUM(B9:G9)</f>
        <v>176</v>
      </c>
      <c r="I9" s="263">
        <f>SUM(H9/$H$14)*100</f>
        <v>4.7261009667024707</v>
      </c>
      <c r="J9" s="107" t="s">
        <v>237</v>
      </c>
    </row>
    <row r="10" spans="1:10" ht="30.75" customHeight="1" thickBot="1">
      <c r="A10" s="260" t="s">
        <v>236</v>
      </c>
      <c r="B10" s="594">
        <v>40</v>
      </c>
      <c r="C10" s="594">
        <v>9</v>
      </c>
      <c r="D10" s="594">
        <v>800</v>
      </c>
      <c r="E10" s="594">
        <v>78</v>
      </c>
      <c r="F10" s="594">
        <v>54</v>
      </c>
      <c r="G10" s="594">
        <v>31</v>
      </c>
      <c r="H10" s="860">
        <f t="shared" si="0"/>
        <v>1012</v>
      </c>
      <c r="I10" s="264">
        <f t="shared" ref="I10:I13" si="1">SUM(H10/$H$14)*100</f>
        <v>27.175080558539204</v>
      </c>
      <c r="J10" s="106" t="s">
        <v>235</v>
      </c>
    </row>
    <row r="11" spans="1:10" ht="30.75" customHeight="1" thickBot="1">
      <c r="A11" s="108" t="s">
        <v>234</v>
      </c>
      <c r="B11" s="594">
        <v>6</v>
      </c>
      <c r="C11" s="594">
        <v>3</v>
      </c>
      <c r="D11" s="594">
        <v>24</v>
      </c>
      <c r="E11" s="594">
        <v>321</v>
      </c>
      <c r="F11" s="594">
        <v>6</v>
      </c>
      <c r="G11" s="594">
        <v>7</v>
      </c>
      <c r="H11" s="860">
        <f t="shared" si="0"/>
        <v>367</v>
      </c>
      <c r="I11" s="263">
        <f>SUM(H11/$H$14)*100</f>
        <v>9.8549946294307205</v>
      </c>
      <c r="J11" s="107" t="s">
        <v>233</v>
      </c>
    </row>
    <row r="12" spans="1:10" ht="30.75" customHeight="1" thickBot="1">
      <c r="A12" s="260" t="s">
        <v>232</v>
      </c>
      <c r="B12" s="594">
        <v>4</v>
      </c>
      <c r="C12" s="594">
        <v>0</v>
      </c>
      <c r="D12" s="594">
        <v>19</v>
      </c>
      <c r="E12" s="594">
        <v>7</v>
      </c>
      <c r="F12" s="594">
        <v>5</v>
      </c>
      <c r="G12" s="594">
        <v>3</v>
      </c>
      <c r="H12" s="860">
        <f t="shared" si="0"/>
        <v>38</v>
      </c>
      <c r="I12" s="264">
        <f t="shared" si="1"/>
        <v>1.0204081632653061</v>
      </c>
      <c r="J12" s="106" t="s">
        <v>231</v>
      </c>
    </row>
    <row r="13" spans="1:10" ht="30.75" customHeight="1" thickBot="1">
      <c r="A13" s="105" t="s">
        <v>230</v>
      </c>
      <c r="B13" s="595">
        <v>4</v>
      </c>
      <c r="C13" s="595">
        <v>1</v>
      </c>
      <c r="D13" s="595">
        <v>27</v>
      </c>
      <c r="E13" s="595">
        <v>8</v>
      </c>
      <c r="F13" s="595">
        <v>6</v>
      </c>
      <c r="G13" s="595">
        <v>16</v>
      </c>
      <c r="H13" s="860">
        <f t="shared" si="0"/>
        <v>62</v>
      </c>
      <c r="I13" s="265">
        <f t="shared" si="1"/>
        <v>1.664876476906552</v>
      </c>
      <c r="J13" s="104" t="s">
        <v>229</v>
      </c>
    </row>
    <row r="14" spans="1:10" ht="26.25" customHeight="1" thickBot="1">
      <c r="A14" s="92" t="s">
        <v>21</v>
      </c>
      <c r="B14" s="596">
        <f>SUM(B8:B13)</f>
        <v>1993</v>
      </c>
      <c r="C14" s="596">
        <f t="shared" ref="C14:H14" si="2">SUM(C8:C13)</f>
        <v>145</v>
      </c>
      <c r="D14" s="596">
        <f t="shared" si="2"/>
        <v>993</v>
      </c>
      <c r="E14" s="596">
        <f t="shared" si="2"/>
        <v>456</v>
      </c>
      <c r="F14" s="596">
        <f t="shared" si="2"/>
        <v>75</v>
      </c>
      <c r="G14" s="596">
        <f t="shared" si="2"/>
        <v>62</v>
      </c>
      <c r="H14" s="596">
        <f t="shared" si="2"/>
        <v>3724</v>
      </c>
      <c r="I14" s="597">
        <f t="shared" ref="I14" si="3">SUM(I8:I13)</f>
        <v>100</v>
      </c>
      <c r="J14" s="91" t="s">
        <v>176</v>
      </c>
    </row>
    <row r="15" spans="1:10" ht="33.75" customHeight="1">
      <c r="A15" s="76" t="s">
        <v>228</v>
      </c>
      <c r="B15" s="598">
        <f>B14/$H$14%</f>
        <v>53.517722878625129</v>
      </c>
      <c r="C15" s="598">
        <f t="shared" ref="C15:H15" si="4">C14/$H$14%</f>
        <v>3.8936627282491942</v>
      </c>
      <c r="D15" s="598">
        <f t="shared" si="4"/>
        <v>26.664876476906549</v>
      </c>
      <c r="E15" s="598">
        <f t="shared" si="4"/>
        <v>12.244897959183673</v>
      </c>
      <c r="F15" s="598">
        <f t="shared" si="4"/>
        <v>2.0139634801288935</v>
      </c>
      <c r="G15" s="598">
        <f t="shared" si="4"/>
        <v>1.664876476906552</v>
      </c>
      <c r="H15" s="598">
        <f t="shared" si="4"/>
        <v>100</v>
      </c>
      <c r="I15" s="599"/>
      <c r="J15" s="75" t="s">
        <v>227</v>
      </c>
    </row>
    <row r="20" spans="1:2" ht="25.5">
      <c r="A20" s="111" t="s">
        <v>226</v>
      </c>
      <c r="B20" s="176"/>
    </row>
    <row r="21" spans="1:2" ht="38.25">
      <c r="A21" s="111" t="s">
        <v>225</v>
      </c>
      <c r="B21" s="176"/>
    </row>
    <row r="22" spans="1:2" ht="25.5">
      <c r="A22" s="111" t="s">
        <v>224</v>
      </c>
      <c r="B22" s="176"/>
    </row>
    <row r="23" spans="1:2" ht="25.5">
      <c r="A23" s="111" t="s">
        <v>223</v>
      </c>
      <c r="B23" s="176"/>
    </row>
    <row r="24" spans="1:2" ht="25.5">
      <c r="A24" s="111" t="s">
        <v>222</v>
      </c>
      <c r="B24" s="176"/>
    </row>
    <row r="25" spans="1:2" ht="26.25" thickBot="1">
      <c r="A25" s="110" t="s">
        <v>221</v>
      </c>
      <c r="B25" s="176"/>
    </row>
    <row r="26" spans="1:2" ht="13.5" thickTop="1">
      <c r="A26" s="111"/>
    </row>
    <row r="27" spans="1:2">
      <c r="A27" s="111"/>
    </row>
    <row r="28" spans="1:2">
      <c r="A28" s="111"/>
    </row>
    <row r="29" spans="1:2">
      <c r="A29" s="111"/>
    </row>
    <row r="30" spans="1:2" ht="13.5" thickBot="1">
      <c r="A30" s="110"/>
    </row>
    <row r="31" spans="1:2" ht="13.5" thickTop="1"/>
  </sheetData>
  <mergeCells count="7">
    <mergeCell ref="A6:A7"/>
    <mergeCell ref="I6:I7"/>
    <mergeCell ref="J6:J7"/>
    <mergeCell ref="A1:J1"/>
    <mergeCell ref="A2:J2"/>
    <mergeCell ref="A3:J3"/>
    <mergeCell ref="B6:H6"/>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1:M31"/>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31" spans="1:13" ht="15.75">
      <c r="A31" s="945" t="s">
        <v>255</v>
      </c>
      <c r="B31" s="945"/>
      <c r="C31" s="945"/>
      <c r="D31" s="945"/>
      <c r="E31" s="945"/>
      <c r="F31" s="945"/>
      <c r="G31" s="945"/>
      <c r="H31" s="945"/>
      <c r="I31" s="945"/>
      <c r="J31" s="945"/>
      <c r="K31" s="945"/>
      <c r="L31" s="945"/>
      <c r="M31" s="945"/>
    </row>
  </sheetData>
  <mergeCells count="1">
    <mergeCell ref="A31:M31"/>
  </mergeCells>
  <printOptions horizontalCentered="1" verticalCentered="1"/>
  <pageMargins left="0" right="0" top="0" bottom="0" header="0" footer="0"/>
  <pageSetup paperSize="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
  <sheetViews>
    <sheetView rightToLeft="1" view="pageBreakPreview" zoomScaleNormal="100" zoomScaleSheetLayoutView="100" workbookViewId="0">
      <selection activeCell="S11" sqref="S11"/>
    </sheetView>
  </sheetViews>
  <sheetFormatPr defaultColWidth="9.140625" defaultRowHeight="12.75"/>
  <cols>
    <col min="1" max="1" width="24.28515625" style="2" customWidth="1"/>
    <col min="2" max="3" width="6.42578125" style="2" customWidth="1"/>
    <col min="4" max="4" width="6.85546875" style="2" bestFit="1" customWidth="1"/>
    <col min="5" max="15" width="6.42578125" style="2" customWidth="1"/>
    <col min="16" max="16" width="9.42578125" style="2" customWidth="1"/>
    <col min="17" max="17" width="25.7109375" style="2" customWidth="1"/>
    <col min="18" max="16384" width="9.140625" style="2"/>
  </cols>
  <sheetData>
    <row r="1" spans="1:21" ht="21.75" customHeight="1">
      <c r="A1" s="934" t="s">
        <v>274</v>
      </c>
      <c r="B1" s="934"/>
      <c r="C1" s="934"/>
      <c r="D1" s="934"/>
      <c r="E1" s="934"/>
      <c r="F1" s="934"/>
      <c r="G1" s="934"/>
      <c r="H1" s="934"/>
      <c r="I1" s="934"/>
      <c r="J1" s="934"/>
      <c r="K1" s="934"/>
      <c r="L1" s="934"/>
      <c r="M1" s="934"/>
      <c r="N1" s="934"/>
      <c r="O1" s="934"/>
      <c r="P1" s="934"/>
      <c r="Q1" s="934"/>
      <c r="R1" s="127"/>
      <c r="S1" s="127"/>
    </row>
    <row r="2" spans="1:21" ht="15.75" customHeight="1">
      <c r="A2" s="959" t="s">
        <v>273</v>
      </c>
      <c r="B2" s="959"/>
      <c r="C2" s="959"/>
      <c r="D2" s="959"/>
      <c r="E2" s="959"/>
      <c r="F2" s="959"/>
      <c r="G2" s="959"/>
      <c r="H2" s="959"/>
      <c r="I2" s="959"/>
      <c r="J2" s="959"/>
      <c r="K2" s="959"/>
      <c r="L2" s="959"/>
      <c r="M2" s="959"/>
      <c r="N2" s="959"/>
      <c r="O2" s="959"/>
      <c r="P2" s="959"/>
      <c r="Q2" s="959"/>
      <c r="R2" s="126"/>
      <c r="S2" s="126"/>
    </row>
    <row r="3" spans="1:21" ht="18" customHeight="1">
      <c r="A3" s="959">
        <v>2015</v>
      </c>
      <c r="B3" s="959"/>
      <c r="C3" s="959"/>
      <c r="D3" s="959"/>
      <c r="E3" s="959"/>
      <c r="F3" s="959"/>
      <c r="G3" s="959"/>
      <c r="H3" s="959"/>
      <c r="I3" s="959"/>
      <c r="J3" s="959"/>
      <c r="K3" s="959"/>
      <c r="L3" s="959"/>
      <c r="M3" s="959"/>
      <c r="N3" s="959"/>
      <c r="O3" s="959"/>
      <c r="P3" s="959"/>
      <c r="Q3" s="959"/>
      <c r="R3" s="125"/>
      <c r="S3" s="125"/>
      <c r="T3" s="125"/>
      <c r="U3" s="125"/>
    </row>
    <row r="4" spans="1:21" ht="15.75">
      <c r="A4" s="959"/>
      <c r="B4" s="959"/>
      <c r="C4" s="959"/>
      <c r="D4" s="959"/>
      <c r="E4" s="959"/>
      <c r="F4" s="959"/>
      <c r="G4" s="959"/>
      <c r="H4" s="959"/>
      <c r="I4" s="959"/>
      <c r="J4" s="959"/>
      <c r="K4" s="959"/>
      <c r="L4" s="959"/>
      <c r="M4" s="959"/>
      <c r="N4" s="959"/>
      <c r="O4" s="959"/>
      <c r="P4" s="959"/>
      <c r="Q4" s="959"/>
    </row>
    <row r="5" spans="1:21" s="93" customFormat="1" ht="15.75">
      <c r="A5" s="648" t="s">
        <v>281</v>
      </c>
      <c r="B5" s="649"/>
      <c r="C5" s="649"/>
      <c r="D5" s="649"/>
      <c r="E5" s="649"/>
      <c r="F5" s="649"/>
      <c r="G5" s="649"/>
      <c r="H5" s="649"/>
      <c r="I5" s="649"/>
      <c r="J5" s="649"/>
      <c r="K5" s="649"/>
      <c r="L5" s="649"/>
      <c r="M5" s="649"/>
      <c r="N5" s="649"/>
      <c r="O5" s="649"/>
      <c r="P5" s="649"/>
      <c r="Q5" s="650" t="s">
        <v>280</v>
      </c>
    </row>
    <row r="6" spans="1:21" ht="26.25" customHeight="1" thickBot="1">
      <c r="A6" s="985" t="s">
        <v>251</v>
      </c>
      <c r="B6" s="969" t="s">
        <v>270</v>
      </c>
      <c r="C6" s="969"/>
      <c r="D6" s="969"/>
      <c r="E6" s="969"/>
      <c r="F6" s="969"/>
      <c r="G6" s="969"/>
      <c r="H6" s="969"/>
      <c r="I6" s="969"/>
      <c r="J6" s="969"/>
      <c r="K6" s="969"/>
      <c r="L6" s="969"/>
      <c r="M6" s="969"/>
      <c r="N6" s="969"/>
      <c r="O6" s="969"/>
      <c r="P6" s="969"/>
      <c r="Q6" s="987" t="s">
        <v>248</v>
      </c>
    </row>
    <row r="7" spans="1:21" ht="57" customHeight="1">
      <c r="A7" s="986" t="s">
        <v>251</v>
      </c>
      <c r="B7" s="584">
        <v>-20</v>
      </c>
      <c r="C7" s="584" t="s">
        <v>269</v>
      </c>
      <c r="D7" s="584" t="s">
        <v>268</v>
      </c>
      <c r="E7" s="584" t="s">
        <v>267</v>
      </c>
      <c r="F7" s="584" t="s">
        <v>266</v>
      </c>
      <c r="G7" s="584" t="s">
        <v>265</v>
      </c>
      <c r="H7" s="584" t="s">
        <v>264</v>
      </c>
      <c r="I7" s="584" t="s">
        <v>263</v>
      </c>
      <c r="J7" s="584" t="s">
        <v>262</v>
      </c>
      <c r="K7" s="584" t="s">
        <v>261</v>
      </c>
      <c r="L7" s="584" t="s">
        <v>260</v>
      </c>
      <c r="M7" s="584" t="s">
        <v>259</v>
      </c>
      <c r="N7" s="584" t="s">
        <v>258</v>
      </c>
      <c r="O7" s="585" t="s">
        <v>257</v>
      </c>
      <c r="P7" s="578" t="s">
        <v>256</v>
      </c>
      <c r="Q7" s="988"/>
    </row>
    <row r="8" spans="1:21" ht="28.5" customHeight="1" thickBot="1">
      <c r="A8" s="823" t="s">
        <v>240</v>
      </c>
      <c r="B8" s="600">
        <v>45</v>
      </c>
      <c r="C8" s="600">
        <v>694</v>
      </c>
      <c r="D8" s="600">
        <v>753</v>
      </c>
      <c r="E8" s="600">
        <v>260</v>
      </c>
      <c r="F8" s="600">
        <v>120</v>
      </c>
      <c r="G8" s="600">
        <v>68</v>
      </c>
      <c r="H8" s="600">
        <v>59</v>
      </c>
      <c r="I8" s="600">
        <v>41</v>
      </c>
      <c r="J8" s="600">
        <v>17</v>
      </c>
      <c r="K8" s="600">
        <v>4</v>
      </c>
      <c r="L8" s="600">
        <v>3</v>
      </c>
      <c r="M8" s="600">
        <v>4</v>
      </c>
      <c r="N8" s="600">
        <v>1</v>
      </c>
      <c r="O8" s="600">
        <v>0</v>
      </c>
      <c r="P8" s="601">
        <f>SUM(B8:O8)</f>
        <v>2069</v>
      </c>
      <c r="Q8" s="833" t="s">
        <v>239</v>
      </c>
    </row>
    <row r="9" spans="1:21" ht="28.5" customHeight="1" thickBot="1">
      <c r="A9" s="824" t="s">
        <v>238</v>
      </c>
      <c r="B9" s="602">
        <v>4</v>
      </c>
      <c r="C9" s="602">
        <v>45</v>
      </c>
      <c r="D9" s="602">
        <v>57</v>
      </c>
      <c r="E9" s="602">
        <v>39</v>
      </c>
      <c r="F9" s="602">
        <v>17</v>
      </c>
      <c r="G9" s="602">
        <v>4</v>
      </c>
      <c r="H9" s="602">
        <v>3</v>
      </c>
      <c r="I9" s="602">
        <v>3</v>
      </c>
      <c r="J9" s="602">
        <v>0</v>
      </c>
      <c r="K9" s="602">
        <v>1</v>
      </c>
      <c r="L9" s="602">
        <v>3</v>
      </c>
      <c r="M9" s="602">
        <v>0</v>
      </c>
      <c r="N9" s="602">
        <v>0</v>
      </c>
      <c r="O9" s="602">
        <v>0</v>
      </c>
      <c r="P9" s="601">
        <f t="shared" ref="P9:P13" si="0">SUM(B9:O9)</f>
        <v>176</v>
      </c>
      <c r="Q9" s="834" t="s">
        <v>746</v>
      </c>
    </row>
    <row r="10" spans="1:21" ht="28.5" customHeight="1" thickBot="1">
      <c r="A10" s="824" t="s">
        <v>236</v>
      </c>
      <c r="B10" s="602">
        <v>3</v>
      </c>
      <c r="C10" s="602">
        <v>131</v>
      </c>
      <c r="D10" s="602">
        <v>390</v>
      </c>
      <c r="E10" s="602">
        <v>283</v>
      </c>
      <c r="F10" s="602">
        <v>108</v>
      </c>
      <c r="G10" s="602">
        <v>34</v>
      </c>
      <c r="H10" s="602">
        <v>36</v>
      </c>
      <c r="I10" s="602">
        <v>11</v>
      </c>
      <c r="J10" s="602">
        <v>7</v>
      </c>
      <c r="K10" s="602">
        <v>4</v>
      </c>
      <c r="L10" s="602">
        <v>2</v>
      </c>
      <c r="M10" s="602">
        <v>2</v>
      </c>
      <c r="N10" s="602">
        <v>1</v>
      </c>
      <c r="O10" s="602">
        <v>0</v>
      </c>
      <c r="P10" s="601">
        <f t="shared" si="0"/>
        <v>1012</v>
      </c>
      <c r="Q10" s="834" t="s">
        <v>747</v>
      </c>
    </row>
    <row r="11" spans="1:21" ht="28.5" customHeight="1" thickBot="1">
      <c r="A11" s="824" t="s">
        <v>506</v>
      </c>
      <c r="B11" s="602">
        <v>4</v>
      </c>
      <c r="C11" s="602">
        <v>109</v>
      </c>
      <c r="D11" s="602">
        <v>144</v>
      </c>
      <c r="E11" s="602">
        <v>66</v>
      </c>
      <c r="F11" s="602">
        <v>21</v>
      </c>
      <c r="G11" s="602">
        <v>8</v>
      </c>
      <c r="H11" s="602">
        <v>8</v>
      </c>
      <c r="I11" s="602">
        <v>4</v>
      </c>
      <c r="J11" s="602">
        <v>1</v>
      </c>
      <c r="K11" s="602">
        <v>2</v>
      </c>
      <c r="L11" s="602">
        <v>0</v>
      </c>
      <c r="M11" s="602">
        <v>0</v>
      </c>
      <c r="N11" s="602">
        <v>0</v>
      </c>
      <c r="O11" s="602">
        <v>0</v>
      </c>
      <c r="P11" s="601">
        <f t="shared" si="0"/>
        <v>367</v>
      </c>
      <c r="Q11" s="834" t="s">
        <v>748</v>
      </c>
    </row>
    <row r="12" spans="1:21" ht="28.5" customHeight="1" thickBot="1">
      <c r="A12" s="824" t="s">
        <v>505</v>
      </c>
      <c r="B12" s="602">
        <v>0</v>
      </c>
      <c r="C12" s="602">
        <v>2</v>
      </c>
      <c r="D12" s="602">
        <v>10</v>
      </c>
      <c r="E12" s="602">
        <v>10</v>
      </c>
      <c r="F12" s="602">
        <v>4</v>
      </c>
      <c r="G12" s="602">
        <v>4</v>
      </c>
      <c r="H12" s="602">
        <v>3</v>
      </c>
      <c r="I12" s="602">
        <v>4</v>
      </c>
      <c r="J12" s="602">
        <v>1</v>
      </c>
      <c r="K12" s="602">
        <v>0</v>
      </c>
      <c r="L12" s="602">
        <v>0</v>
      </c>
      <c r="M12" s="602">
        <v>0</v>
      </c>
      <c r="N12" s="602">
        <v>0</v>
      </c>
      <c r="O12" s="602">
        <v>0</v>
      </c>
      <c r="P12" s="601">
        <f t="shared" si="0"/>
        <v>38</v>
      </c>
      <c r="Q12" s="834" t="s">
        <v>749</v>
      </c>
    </row>
    <row r="13" spans="1:21" ht="28.5" customHeight="1">
      <c r="A13" s="825" t="s">
        <v>765</v>
      </c>
      <c r="B13" s="604">
        <v>3</v>
      </c>
      <c r="C13" s="604">
        <v>3</v>
      </c>
      <c r="D13" s="604">
        <v>24</v>
      </c>
      <c r="E13" s="604">
        <v>10</v>
      </c>
      <c r="F13" s="604">
        <v>6</v>
      </c>
      <c r="G13" s="604">
        <v>3</v>
      </c>
      <c r="H13" s="604">
        <v>8</v>
      </c>
      <c r="I13" s="604">
        <v>3</v>
      </c>
      <c r="J13" s="604">
        <v>2</v>
      </c>
      <c r="K13" s="604">
        <v>0</v>
      </c>
      <c r="L13" s="604">
        <v>0</v>
      </c>
      <c r="M13" s="604">
        <v>0</v>
      </c>
      <c r="N13" s="604">
        <v>0</v>
      </c>
      <c r="O13" s="604">
        <v>0</v>
      </c>
      <c r="P13" s="770">
        <f t="shared" si="0"/>
        <v>62</v>
      </c>
      <c r="Q13" s="835" t="s">
        <v>750</v>
      </c>
    </row>
    <row r="14" spans="1:21" ht="27.75" customHeight="1" thickBot="1">
      <c r="A14" s="826" t="s">
        <v>21</v>
      </c>
      <c r="B14" s="740">
        <f>SUBTOTAL(109,Table_Default__XLS_TAB_9[AGE_LEVEL_LESS_20])</f>
        <v>59</v>
      </c>
      <c r="C14" s="740">
        <f>SUBTOTAL(109,Table_Default__XLS_TAB_9[AGE_LEVEL_20_24])</f>
        <v>984</v>
      </c>
      <c r="D14" s="740">
        <f>SUBTOTAL(109,Table_Default__XLS_TAB_9[AGE_LEVEL_25_29])</f>
        <v>1378</v>
      </c>
      <c r="E14" s="740">
        <f>SUBTOTAL(109,Table_Default__XLS_TAB_9[AGE_LEVEL_30_34])</f>
        <v>668</v>
      </c>
      <c r="F14" s="740">
        <f>SUBTOTAL(109,Table_Default__XLS_TAB_9[AGE_LEVEL_35_39])</f>
        <v>276</v>
      </c>
      <c r="G14" s="740">
        <f>SUBTOTAL(109,Table_Default__XLS_TAB_9[AGE_LEVEL_40_44])</f>
        <v>121</v>
      </c>
      <c r="H14" s="740">
        <f>SUBTOTAL(109,Table_Default__XLS_TAB_9[AGE_LEVEL_45_49])</f>
        <v>117</v>
      </c>
      <c r="I14" s="740">
        <f>SUBTOTAL(109,Table_Default__XLS_TAB_9[AGE_LEVEL_50_54])</f>
        <v>66</v>
      </c>
      <c r="J14" s="740">
        <f>SUBTOTAL(109,Table_Default__XLS_TAB_9[AGE_LEVEL_55_59])</f>
        <v>28</v>
      </c>
      <c r="K14" s="740">
        <f>SUBTOTAL(109,Table_Default__XLS_TAB_9[AGE_LEVEL_60_64])</f>
        <v>11</v>
      </c>
      <c r="L14" s="740">
        <f>SUBTOTAL(109,Table_Default__XLS_TAB_9[AGE_LEVEL_65_70])</f>
        <v>8</v>
      </c>
      <c r="M14" s="740">
        <f>SUBTOTAL(109,Table_Default__XLS_TAB_9[AGE_LEVEL_70_74])</f>
        <v>6</v>
      </c>
      <c r="N14" s="740">
        <f>SUBTOTAL(109,Table_Default__XLS_TAB_9[AGE_LEVEL_75])</f>
        <v>2</v>
      </c>
      <c r="O14" s="740">
        <f>SUBTOTAL(109,Table_Default__XLS_TAB_9[AGE_LEVEL_NOT_STATED])</f>
        <v>0</v>
      </c>
      <c r="P14" s="771">
        <f>SUBTOTAL(109,Table_Default__XLS_TAB_9[TOTAL])</f>
        <v>3724</v>
      </c>
      <c r="Q14" s="827" t="s">
        <v>176</v>
      </c>
    </row>
  </sheetData>
  <mergeCells count="7">
    <mergeCell ref="A6:A7"/>
    <mergeCell ref="Q6:Q7"/>
    <mergeCell ref="B6:P6"/>
    <mergeCell ref="A1:Q1"/>
    <mergeCell ref="A2:Q2"/>
    <mergeCell ref="A3:Q3"/>
    <mergeCell ref="A4:Q4"/>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
  <sheetViews>
    <sheetView rightToLeft="1" view="pageBreakPreview" zoomScaleNormal="100" zoomScaleSheetLayoutView="100" workbookViewId="0">
      <selection activeCell="N8" sqref="N8:N13"/>
    </sheetView>
  </sheetViews>
  <sheetFormatPr defaultColWidth="9.140625" defaultRowHeight="12.75"/>
  <cols>
    <col min="1" max="1" width="19.28515625" style="1" customWidth="1"/>
    <col min="2" max="2" width="7.85546875" style="1" customWidth="1"/>
    <col min="3" max="3" width="9" style="1" customWidth="1"/>
    <col min="4" max="4" width="9.42578125" style="1" customWidth="1"/>
    <col min="5" max="6" width="6.85546875" style="1" customWidth="1"/>
    <col min="7" max="8" width="6.7109375" style="1" customWidth="1"/>
    <col min="9" max="9" width="6.85546875" style="1" customWidth="1"/>
    <col min="10" max="10" width="5.85546875" style="1" customWidth="1"/>
    <col min="11" max="11" width="5.28515625" style="1" customWidth="1"/>
    <col min="12" max="12" width="7.140625" style="1" customWidth="1"/>
    <col min="13" max="13" width="9.42578125" style="1" customWidth="1"/>
    <col min="14" max="14" width="26.7109375" style="1" customWidth="1"/>
    <col min="15" max="16384" width="9.140625" style="1"/>
  </cols>
  <sheetData>
    <row r="1" spans="1:18" s="2" customFormat="1" ht="21.75" customHeight="1">
      <c r="A1" s="934" t="s">
        <v>283</v>
      </c>
      <c r="B1" s="934"/>
      <c r="C1" s="934"/>
      <c r="D1" s="934"/>
      <c r="E1" s="934"/>
      <c r="F1" s="934"/>
      <c r="G1" s="934"/>
      <c r="H1" s="934"/>
      <c r="I1" s="934"/>
      <c r="J1" s="934"/>
      <c r="K1" s="934"/>
      <c r="L1" s="934"/>
      <c r="M1" s="934"/>
      <c r="N1" s="934"/>
      <c r="O1" s="127"/>
      <c r="P1" s="127"/>
    </row>
    <row r="2" spans="1:18" s="2" customFormat="1" ht="15.75" customHeight="1">
      <c r="A2" s="959" t="s">
        <v>282</v>
      </c>
      <c r="B2" s="959"/>
      <c r="C2" s="959"/>
      <c r="D2" s="959"/>
      <c r="E2" s="959"/>
      <c r="F2" s="959"/>
      <c r="G2" s="959"/>
      <c r="H2" s="959"/>
      <c r="I2" s="959"/>
      <c r="J2" s="959"/>
      <c r="K2" s="959"/>
      <c r="L2" s="959"/>
      <c r="M2" s="959"/>
      <c r="N2" s="959"/>
      <c r="O2" s="126"/>
      <c r="P2" s="126"/>
    </row>
    <row r="3" spans="1:18" s="2" customFormat="1" ht="18" customHeight="1">
      <c r="A3" s="959">
        <v>2015</v>
      </c>
      <c r="B3" s="959"/>
      <c r="C3" s="959"/>
      <c r="D3" s="959"/>
      <c r="E3" s="959"/>
      <c r="F3" s="959"/>
      <c r="G3" s="959"/>
      <c r="H3" s="959"/>
      <c r="I3" s="959"/>
      <c r="J3" s="959"/>
      <c r="K3" s="959"/>
      <c r="L3" s="959"/>
      <c r="M3" s="959"/>
      <c r="N3" s="959"/>
      <c r="O3" s="125"/>
      <c r="P3" s="125"/>
      <c r="Q3" s="125"/>
      <c r="R3" s="125"/>
    </row>
    <row r="4" spans="1:18" s="2" customFormat="1" ht="15.75">
      <c r="A4" s="959"/>
      <c r="B4" s="959"/>
      <c r="C4" s="959"/>
      <c r="D4" s="959"/>
      <c r="E4" s="959"/>
      <c r="F4" s="959"/>
      <c r="G4" s="959"/>
      <c r="H4" s="959"/>
      <c r="I4" s="959"/>
      <c r="J4" s="959"/>
      <c r="K4" s="959"/>
      <c r="L4" s="959"/>
      <c r="M4" s="959"/>
      <c r="N4" s="959"/>
    </row>
    <row r="5" spans="1:18" s="93" customFormat="1" ht="15.75">
      <c r="A5" s="648" t="s">
        <v>616</v>
      </c>
      <c r="B5" s="649"/>
      <c r="C5" s="649"/>
      <c r="D5" s="649"/>
      <c r="E5" s="649"/>
      <c r="F5" s="649"/>
      <c r="G5" s="649"/>
      <c r="H5" s="649"/>
      <c r="I5" s="649"/>
      <c r="J5" s="649"/>
      <c r="K5" s="649"/>
      <c r="L5" s="649"/>
      <c r="M5" s="649"/>
      <c r="N5" s="650" t="s">
        <v>617</v>
      </c>
    </row>
    <row r="6" spans="1:18" ht="26.25" customHeight="1" thickBot="1">
      <c r="A6" s="985" t="s">
        <v>279</v>
      </c>
      <c r="B6" s="989" t="s">
        <v>775</v>
      </c>
      <c r="C6" s="990"/>
      <c r="D6" s="990"/>
      <c r="E6" s="990"/>
      <c r="F6" s="990"/>
      <c r="G6" s="990"/>
      <c r="H6" s="990"/>
      <c r="I6" s="990"/>
      <c r="J6" s="990"/>
      <c r="K6" s="990"/>
      <c r="L6" s="990"/>
      <c r="M6" s="991"/>
      <c r="N6" s="987" t="s">
        <v>277</v>
      </c>
    </row>
    <row r="7" spans="1:18" ht="42" customHeight="1">
      <c r="A7" s="986" t="s">
        <v>251</v>
      </c>
      <c r="B7" s="584">
        <v>-20</v>
      </c>
      <c r="C7" s="584" t="s">
        <v>269</v>
      </c>
      <c r="D7" s="584" t="s">
        <v>268</v>
      </c>
      <c r="E7" s="584" t="s">
        <v>267</v>
      </c>
      <c r="F7" s="584" t="s">
        <v>266</v>
      </c>
      <c r="G7" s="584" t="s">
        <v>265</v>
      </c>
      <c r="H7" s="584" t="s">
        <v>264</v>
      </c>
      <c r="I7" s="584" t="s">
        <v>263</v>
      </c>
      <c r="J7" s="584" t="s">
        <v>262</v>
      </c>
      <c r="K7" s="584" t="s">
        <v>275</v>
      </c>
      <c r="L7" s="585" t="s">
        <v>257</v>
      </c>
      <c r="M7" s="578" t="s">
        <v>256</v>
      </c>
      <c r="N7" s="988"/>
    </row>
    <row r="8" spans="1:18" ht="28.5" customHeight="1" thickBot="1">
      <c r="A8" s="830" t="s">
        <v>240</v>
      </c>
      <c r="B8" s="600">
        <v>334</v>
      </c>
      <c r="C8" s="600">
        <v>873</v>
      </c>
      <c r="D8" s="600">
        <v>449</v>
      </c>
      <c r="E8" s="600">
        <v>184</v>
      </c>
      <c r="F8" s="600">
        <v>73</v>
      </c>
      <c r="G8" s="600">
        <v>52</v>
      </c>
      <c r="H8" s="600">
        <v>20</v>
      </c>
      <c r="I8" s="600">
        <v>5</v>
      </c>
      <c r="J8" s="600">
        <v>2</v>
      </c>
      <c r="K8" s="600">
        <v>1</v>
      </c>
      <c r="L8" s="600">
        <v>0</v>
      </c>
      <c r="M8" s="601">
        <f>SUM(B8:L8)</f>
        <v>1993</v>
      </c>
      <c r="N8" s="833" t="s">
        <v>239</v>
      </c>
    </row>
    <row r="9" spans="1:18" ht="28.5" customHeight="1" thickBot="1">
      <c r="A9" s="831" t="s">
        <v>238</v>
      </c>
      <c r="B9" s="602">
        <v>24</v>
      </c>
      <c r="C9" s="602">
        <v>52</v>
      </c>
      <c r="D9" s="602">
        <v>35</v>
      </c>
      <c r="E9" s="602">
        <v>18</v>
      </c>
      <c r="F9" s="602">
        <v>11</v>
      </c>
      <c r="G9" s="602">
        <v>3</v>
      </c>
      <c r="H9" s="602">
        <v>1</v>
      </c>
      <c r="I9" s="602">
        <v>0</v>
      </c>
      <c r="J9" s="602">
        <v>1</v>
      </c>
      <c r="K9" s="602">
        <v>0</v>
      </c>
      <c r="L9" s="602">
        <v>0</v>
      </c>
      <c r="M9" s="601">
        <f t="shared" ref="M9:M13" si="0">SUM(B9:L9)</f>
        <v>145</v>
      </c>
      <c r="N9" s="834" t="s">
        <v>746</v>
      </c>
    </row>
    <row r="10" spans="1:18" ht="28.5" customHeight="1" thickBot="1">
      <c r="A10" s="831" t="s">
        <v>236</v>
      </c>
      <c r="B10" s="602">
        <v>109</v>
      </c>
      <c r="C10" s="602">
        <v>306</v>
      </c>
      <c r="D10" s="602">
        <v>323</v>
      </c>
      <c r="E10" s="602">
        <v>153</v>
      </c>
      <c r="F10" s="602">
        <v>62</v>
      </c>
      <c r="G10" s="602">
        <v>24</v>
      </c>
      <c r="H10" s="602">
        <v>10</v>
      </c>
      <c r="I10" s="602">
        <v>5</v>
      </c>
      <c r="J10" s="602">
        <v>1</v>
      </c>
      <c r="K10" s="602">
        <v>0</v>
      </c>
      <c r="L10" s="602">
        <v>0</v>
      </c>
      <c r="M10" s="601">
        <f t="shared" si="0"/>
        <v>993</v>
      </c>
      <c r="N10" s="834" t="s">
        <v>747</v>
      </c>
    </row>
    <row r="11" spans="1:18" ht="28.5" customHeight="1" thickBot="1">
      <c r="A11" s="831" t="s">
        <v>506</v>
      </c>
      <c r="B11" s="602">
        <v>52</v>
      </c>
      <c r="C11" s="602">
        <v>154</v>
      </c>
      <c r="D11" s="602">
        <v>134</v>
      </c>
      <c r="E11" s="602">
        <v>66</v>
      </c>
      <c r="F11" s="602">
        <v>38</v>
      </c>
      <c r="G11" s="602">
        <v>8</v>
      </c>
      <c r="H11" s="602">
        <v>4</v>
      </c>
      <c r="I11" s="602">
        <v>0</v>
      </c>
      <c r="J11" s="602">
        <v>0</v>
      </c>
      <c r="K11" s="602">
        <v>0</v>
      </c>
      <c r="L11" s="602">
        <v>0</v>
      </c>
      <c r="M11" s="601">
        <f t="shared" si="0"/>
        <v>456</v>
      </c>
      <c r="N11" s="834" t="s">
        <v>748</v>
      </c>
    </row>
    <row r="12" spans="1:18" ht="28.5" customHeight="1" thickBot="1">
      <c r="A12" s="831" t="s">
        <v>505</v>
      </c>
      <c r="B12" s="602">
        <v>2</v>
      </c>
      <c r="C12" s="602">
        <v>7</v>
      </c>
      <c r="D12" s="602">
        <v>28</v>
      </c>
      <c r="E12" s="602">
        <v>20</v>
      </c>
      <c r="F12" s="602">
        <v>10</v>
      </c>
      <c r="G12" s="602">
        <v>5</v>
      </c>
      <c r="H12" s="602">
        <v>2</v>
      </c>
      <c r="I12" s="602">
        <v>0</v>
      </c>
      <c r="J12" s="602">
        <v>1</v>
      </c>
      <c r="K12" s="602">
        <v>0</v>
      </c>
      <c r="L12" s="602">
        <v>0</v>
      </c>
      <c r="M12" s="601">
        <f t="shared" si="0"/>
        <v>75</v>
      </c>
      <c r="N12" s="834" t="s">
        <v>749</v>
      </c>
    </row>
    <row r="13" spans="1:18" ht="28.5" customHeight="1">
      <c r="A13" s="832" t="s">
        <v>765</v>
      </c>
      <c r="B13" s="604">
        <v>2</v>
      </c>
      <c r="C13" s="604">
        <v>14</v>
      </c>
      <c r="D13" s="604">
        <v>25</v>
      </c>
      <c r="E13" s="604">
        <v>8</v>
      </c>
      <c r="F13" s="604">
        <v>5</v>
      </c>
      <c r="G13" s="604">
        <v>2</v>
      </c>
      <c r="H13" s="604">
        <v>1</v>
      </c>
      <c r="I13" s="604">
        <v>3</v>
      </c>
      <c r="J13" s="604">
        <v>1</v>
      </c>
      <c r="K13" s="604">
        <v>1</v>
      </c>
      <c r="L13" s="604">
        <v>0</v>
      </c>
      <c r="M13" s="770">
        <f t="shared" si="0"/>
        <v>62</v>
      </c>
      <c r="N13" s="835" t="s">
        <v>750</v>
      </c>
    </row>
    <row r="14" spans="1:18" ht="28.5" customHeight="1">
      <c r="A14" s="828" t="s">
        <v>21</v>
      </c>
      <c r="B14" s="740">
        <f>SUBTOTAL(109,Table_Default__XLS_TAB_10[AGE_LEVEL_LESS_20])</f>
        <v>523</v>
      </c>
      <c r="C14" s="740">
        <f>SUBTOTAL(109,Table_Default__XLS_TAB_10[AGE_LEVEL_20_24])</f>
        <v>1406</v>
      </c>
      <c r="D14" s="740">
        <f>SUBTOTAL(109,Table_Default__XLS_TAB_10[AGE_LEVEL_25_29])</f>
        <v>994</v>
      </c>
      <c r="E14" s="740">
        <f>SUBTOTAL(109,Table_Default__XLS_TAB_10[AGE_LEVEL_30_34])</f>
        <v>449</v>
      </c>
      <c r="F14" s="740">
        <f>SUBTOTAL(109,Table_Default__XLS_TAB_10[AGE_LEVEL_35_39])</f>
        <v>199</v>
      </c>
      <c r="G14" s="740">
        <f>SUBTOTAL(109,Table_Default__XLS_TAB_10[AGE_LEVEL_40_44])</f>
        <v>94</v>
      </c>
      <c r="H14" s="740">
        <f>SUBTOTAL(109,Table_Default__XLS_TAB_10[AGE_LEVEL_45_49])</f>
        <v>38</v>
      </c>
      <c r="I14" s="740">
        <f>SUBTOTAL(109,Table_Default__XLS_TAB_10[AGE_LEVEL_50_54])</f>
        <v>13</v>
      </c>
      <c r="J14" s="740">
        <f>SUBTOTAL(109,Table_Default__XLS_TAB_10[AGE_LEVEL_55_59])</f>
        <v>6</v>
      </c>
      <c r="K14" s="740">
        <f>SUBTOTAL(109,Table_Default__XLS_TAB_10[AGE_LEVEL_UP_60])</f>
        <v>2</v>
      </c>
      <c r="L14" s="740">
        <f>SUBTOTAL(109,Table_Default__XLS_TAB_10[AGE_LEVEL_NOT_STATED])</f>
        <v>0</v>
      </c>
      <c r="M14" s="740">
        <f>SUBTOTAL(109,Table_Default__XLS_TAB_10[TOTAL])</f>
        <v>3724</v>
      </c>
      <c r="N14" s="829" t="s">
        <v>176</v>
      </c>
    </row>
  </sheetData>
  <mergeCells count="7">
    <mergeCell ref="A6:A7"/>
    <mergeCell ref="B6:M6"/>
    <mergeCell ref="N6:N7"/>
    <mergeCell ref="A1:N1"/>
    <mergeCell ref="A2:N2"/>
    <mergeCell ref="A3:N3"/>
    <mergeCell ref="A4:N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rightToLeft="1" view="pageBreakPreview" zoomScaleNormal="100" zoomScaleSheetLayoutView="100" workbookViewId="0">
      <selection activeCell="L16" sqref="L16"/>
    </sheetView>
  </sheetViews>
  <sheetFormatPr defaultColWidth="9.140625" defaultRowHeight="12.75"/>
  <cols>
    <col min="1" max="1" width="17.5703125" style="1" customWidth="1"/>
    <col min="2" max="2" width="8.42578125" style="1" customWidth="1"/>
    <col min="3" max="3" width="8.85546875" style="1" customWidth="1"/>
    <col min="4" max="4" width="8.28515625" style="1" customWidth="1"/>
    <col min="5" max="5" width="9" style="1" customWidth="1"/>
    <col min="6" max="6" width="8.5703125" style="1" customWidth="1"/>
    <col min="7" max="7" width="7.7109375" style="1" customWidth="1"/>
    <col min="8" max="8" width="9" style="1" customWidth="1"/>
    <col min="9" max="9" width="7.28515625" style="1" customWidth="1"/>
    <col min="10" max="10" width="6.7109375" style="1" customWidth="1"/>
    <col min="11" max="11" width="7.42578125" style="1" customWidth="1"/>
    <col min="12" max="12" width="8.5703125" style="1" customWidth="1"/>
    <col min="13" max="13" width="9.42578125" style="1" customWidth="1"/>
    <col min="14" max="14" width="26.7109375" style="1" customWidth="1"/>
    <col min="15" max="16384" width="9.140625" style="1"/>
  </cols>
  <sheetData>
    <row r="1" spans="1:18" s="2" customFormat="1" ht="21.75" customHeight="1">
      <c r="A1" s="934" t="s">
        <v>291</v>
      </c>
      <c r="B1" s="934"/>
      <c r="C1" s="934"/>
      <c r="D1" s="934"/>
      <c r="E1" s="934"/>
      <c r="F1" s="934"/>
      <c r="G1" s="934"/>
      <c r="H1" s="934"/>
      <c r="I1" s="934"/>
      <c r="J1" s="934"/>
      <c r="K1" s="934"/>
      <c r="L1" s="934"/>
      <c r="M1" s="934"/>
      <c r="N1" s="934"/>
    </row>
    <row r="2" spans="1:18" s="2" customFormat="1" ht="15.75">
      <c r="A2" s="958" t="s">
        <v>290</v>
      </c>
      <c r="B2" s="958"/>
      <c r="C2" s="958"/>
      <c r="D2" s="958"/>
      <c r="E2" s="958"/>
      <c r="F2" s="958"/>
      <c r="G2" s="958"/>
      <c r="H2" s="958"/>
      <c r="I2" s="958"/>
      <c r="J2" s="958"/>
      <c r="K2" s="958"/>
      <c r="L2" s="958"/>
      <c r="M2" s="958"/>
      <c r="N2" s="958"/>
    </row>
    <row r="3" spans="1:18" s="2" customFormat="1" ht="18" customHeight="1">
      <c r="A3" s="959">
        <v>2015</v>
      </c>
      <c r="B3" s="959"/>
      <c r="C3" s="959"/>
      <c r="D3" s="959"/>
      <c r="E3" s="959"/>
      <c r="F3" s="959"/>
      <c r="G3" s="959"/>
      <c r="H3" s="959"/>
      <c r="I3" s="959"/>
      <c r="J3" s="959"/>
      <c r="K3" s="959"/>
      <c r="L3" s="959"/>
      <c r="M3" s="959"/>
      <c r="N3" s="959"/>
      <c r="O3" s="125"/>
      <c r="P3" s="125"/>
      <c r="Q3" s="125"/>
      <c r="R3" s="125"/>
    </row>
    <row r="4" spans="1:18" s="2" customFormat="1" ht="15.75">
      <c r="A4" s="959" t="s">
        <v>173</v>
      </c>
      <c r="B4" s="959"/>
      <c r="C4" s="959"/>
      <c r="D4" s="959"/>
      <c r="E4" s="959"/>
      <c r="F4" s="959"/>
      <c r="G4" s="959"/>
      <c r="H4" s="959"/>
      <c r="I4" s="959"/>
      <c r="J4" s="959"/>
      <c r="K4" s="959"/>
      <c r="L4" s="959"/>
      <c r="M4" s="959"/>
      <c r="N4" s="959"/>
    </row>
    <row r="5" spans="1:18" s="2" customFormat="1" ht="15.75">
      <c r="A5" s="635"/>
      <c r="B5" s="635"/>
      <c r="C5" s="635"/>
      <c r="D5" s="635"/>
      <c r="E5" s="635"/>
      <c r="F5" s="635"/>
      <c r="G5" s="635"/>
      <c r="H5" s="635"/>
      <c r="I5" s="635"/>
      <c r="J5" s="635"/>
      <c r="K5" s="635"/>
      <c r="L5" s="635"/>
      <c r="M5" s="635"/>
      <c r="N5" s="635"/>
    </row>
    <row r="6" spans="1:18" s="93" customFormat="1" ht="15.75">
      <c r="A6" s="648" t="s">
        <v>297</v>
      </c>
      <c r="B6" s="649"/>
      <c r="C6" s="649"/>
      <c r="D6" s="649"/>
      <c r="E6" s="649"/>
      <c r="F6" s="649"/>
      <c r="G6" s="649"/>
      <c r="H6" s="649"/>
      <c r="I6" s="649"/>
      <c r="J6" s="649"/>
      <c r="K6" s="649"/>
      <c r="L6" s="649"/>
      <c r="M6" s="649"/>
      <c r="N6" s="650" t="s">
        <v>296</v>
      </c>
    </row>
    <row r="7" spans="1:18" ht="26.25" customHeight="1" thickBot="1">
      <c r="A7" s="985" t="s">
        <v>289</v>
      </c>
      <c r="B7" s="969" t="s">
        <v>278</v>
      </c>
      <c r="C7" s="969"/>
      <c r="D7" s="969"/>
      <c r="E7" s="969"/>
      <c r="F7" s="969"/>
      <c r="G7" s="969"/>
      <c r="H7" s="969"/>
      <c r="I7" s="969"/>
      <c r="J7" s="969"/>
      <c r="K7" s="969"/>
      <c r="L7" s="969"/>
      <c r="M7" s="969"/>
      <c r="N7" s="987" t="s">
        <v>288</v>
      </c>
    </row>
    <row r="8" spans="1:18" ht="39.75" customHeight="1">
      <c r="A8" s="986"/>
      <c r="B8" s="584">
        <v>-20</v>
      </c>
      <c r="C8" s="584" t="s">
        <v>269</v>
      </c>
      <c r="D8" s="584" t="s">
        <v>268</v>
      </c>
      <c r="E8" s="584" t="s">
        <v>267</v>
      </c>
      <c r="F8" s="584" t="s">
        <v>266</v>
      </c>
      <c r="G8" s="584" t="s">
        <v>265</v>
      </c>
      <c r="H8" s="584" t="s">
        <v>264</v>
      </c>
      <c r="I8" s="584" t="s">
        <v>263</v>
      </c>
      <c r="J8" s="584" t="s">
        <v>262</v>
      </c>
      <c r="K8" s="584" t="s">
        <v>275</v>
      </c>
      <c r="L8" s="585" t="s">
        <v>257</v>
      </c>
      <c r="M8" s="578" t="s">
        <v>256</v>
      </c>
      <c r="N8" s="988"/>
    </row>
    <row r="9" spans="1:18" ht="18.75" customHeight="1" thickBot="1">
      <c r="A9" s="275" t="s">
        <v>751</v>
      </c>
      <c r="B9" s="600">
        <v>30</v>
      </c>
      <c r="C9" s="600">
        <v>13</v>
      </c>
      <c r="D9" s="600">
        <v>1</v>
      </c>
      <c r="E9" s="600">
        <v>0</v>
      </c>
      <c r="F9" s="600">
        <v>0</v>
      </c>
      <c r="G9" s="600">
        <v>1</v>
      </c>
      <c r="H9" s="600">
        <v>0</v>
      </c>
      <c r="I9" s="600">
        <v>0</v>
      </c>
      <c r="J9" s="600">
        <v>0</v>
      </c>
      <c r="K9" s="600">
        <v>0</v>
      </c>
      <c r="L9" s="600">
        <v>0</v>
      </c>
      <c r="M9" s="601">
        <f>SUM(B9:L9)</f>
        <v>45</v>
      </c>
      <c r="N9" s="273" t="s">
        <v>751</v>
      </c>
    </row>
    <row r="10" spans="1:18" ht="18.75" customHeight="1" thickBot="1">
      <c r="A10" s="276" t="s">
        <v>269</v>
      </c>
      <c r="B10" s="602">
        <v>202</v>
      </c>
      <c r="C10" s="602">
        <v>425</v>
      </c>
      <c r="D10" s="602">
        <v>60</v>
      </c>
      <c r="E10" s="602">
        <v>6</v>
      </c>
      <c r="F10" s="602">
        <v>1</v>
      </c>
      <c r="G10" s="602">
        <v>0</v>
      </c>
      <c r="H10" s="602">
        <v>0</v>
      </c>
      <c r="I10" s="602">
        <v>0</v>
      </c>
      <c r="J10" s="602">
        <v>0</v>
      </c>
      <c r="K10" s="602">
        <v>0</v>
      </c>
      <c r="L10" s="602">
        <v>0</v>
      </c>
      <c r="M10" s="601">
        <f t="shared" ref="M10:M22" si="0">SUM(B10:L10)</f>
        <v>694</v>
      </c>
      <c r="N10" s="274" t="s">
        <v>269</v>
      </c>
    </row>
    <row r="11" spans="1:18" ht="18.75" customHeight="1" thickBot="1">
      <c r="A11" s="276" t="s">
        <v>268</v>
      </c>
      <c r="B11" s="602">
        <v>98</v>
      </c>
      <c r="C11" s="602">
        <v>390</v>
      </c>
      <c r="D11" s="602">
        <v>233</v>
      </c>
      <c r="E11" s="602">
        <v>27</v>
      </c>
      <c r="F11" s="602">
        <v>3</v>
      </c>
      <c r="G11" s="602">
        <v>1</v>
      </c>
      <c r="H11" s="602">
        <v>1</v>
      </c>
      <c r="I11" s="602">
        <v>0</v>
      </c>
      <c r="J11" s="602">
        <v>0</v>
      </c>
      <c r="K11" s="602">
        <v>0</v>
      </c>
      <c r="L11" s="602">
        <v>0</v>
      </c>
      <c r="M11" s="601">
        <f t="shared" si="0"/>
        <v>753</v>
      </c>
      <c r="N11" s="274" t="s">
        <v>268</v>
      </c>
    </row>
    <row r="12" spans="1:18" ht="18.75" customHeight="1" thickBot="1">
      <c r="A12" s="276" t="s">
        <v>267</v>
      </c>
      <c r="B12" s="602">
        <v>12</v>
      </c>
      <c r="C12" s="602">
        <v>68</v>
      </c>
      <c r="D12" s="602">
        <v>114</v>
      </c>
      <c r="E12" s="602">
        <v>50</v>
      </c>
      <c r="F12" s="602">
        <v>13</v>
      </c>
      <c r="G12" s="602">
        <v>3</v>
      </c>
      <c r="H12" s="602">
        <v>0</v>
      </c>
      <c r="I12" s="602">
        <v>0</v>
      </c>
      <c r="J12" s="602">
        <v>0</v>
      </c>
      <c r="K12" s="602">
        <v>0</v>
      </c>
      <c r="L12" s="602">
        <v>0</v>
      </c>
      <c r="M12" s="601">
        <f t="shared" si="0"/>
        <v>260</v>
      </c>
      <c r="N12" s="274" t="s">
        <v>267</v>
      </c>
    </row>
    <row r="13" spans="1:18" ht="18.75" customHeight="1" thickBot="1">
      <c r="A13" s="276" t="s">
        <v>266</v>
      </c>
      <c r="B13" s="602">
        <v>0</v>
      </c>
      <c r="C13" s="602">
        <v>16</v>
      </c>
      <c r="D13" s="602">
        <v>37</v>
      </c>
      <c r="E13" s="602">
        <v>46</v>
      </c>
      <c r="F13" s="602">
        <v>15</v>
      </c>
      <c r="G13" s="602">
        <v>6</v>
      </c>
      <c r="H13" s="602">
        <v>0</v>
      </c>
      <c r="I13" s="602">
        <v>0</v>
      </c>
      <c r="J13" s="602">
        <v>0</v>
      </c>
      <c r="K13" s="602">
        <v>0</v>
      </c>
      <c r="L13" s="602">
        <v>0</v>
      </c>
      <c r="M13" s="601">
        <f t="shared" si="0"/>
        <v>120</v>
      </c>
      <c r="N13" s="274" t="s">
        <v>266</v>
      </c>
    </row>
    <row r="14" spans="1:18" ht="18.75" customHeight="1" thickBot="1">
      <c r="A14" s="276" t="s">
        <v>265</v>
      </c>
      <c r="B14" s="602">
        <v>0</v>
      </c>
      <c r="C14" s="602">
        <v>2</v>
      </c>
      <c r="D14" s="602">
        <v>12</v>
      </c>
      <c r="E14" s="602">
        <v>21</v>
      </c>
      <c r="F14" s="602">
        <v>18</v>
      </c>
      <c r="G14" s="602">
        <v>13</v>
      </c>
      <c r="H14" s="602">
        <v>2</v>
      </c>
      <c r="I14" s="602">
        <v>0</v>
      </c>
      <c r="J14" s="602">
        <v>0</v>
      </c>
      <c r="K14" s="602">
        <v>0</v>
      </c>
      <c r="L14" s="602">
        <v>0</v>
      </c>
      <c r="M14" s="601">
        <f t="shared" si="0"/>
        <v>68</v>
      </c>
      <c r="N14" s="274" t="s">
        <v>265</v>
      </c>
    </row>
    <row r="15" spans="1:18" ht="18.75" customHeight="1" thickBot="1">
      <c r="A15" s="276" t="s">
        <v>264</v>
      </c>
      <c r="B15" s="602">
        <v>1</v>
      </c>
      <c r="C15" s="602">
        <v>3</v>
      </c>
      <c r="D15" s="602">
        <v>12</v>
      </c>
      <c r="E15" s="602">
        <v>15</v>
      </c>
      <c r="F15" s="602">
        <v>10</v>
      </c>
      <c r="G15" s="602">
        <v>9</v>
      </c>
      <c r="H15" s="602">
        <v>8</v>
      </c>
      <c r="I15" s="602">
        <v>1</v>
      </c>
      <c r="J15" s="602">
        <v>0</v>
      </c>
      <c r="K15" s="602">
        <v>0</v>
      </c>
      <c r="L15" s="602">
        <v>0</v>
      </c>
      <c r="M15" s="601">
        <f t="shared" si="0"/>
        <v>59</v>
      </c>
      <c r="N15" s="274" t="s">
        <v>264</v>
      </c>
    </row>
    <row r="16" spans="1:18" ht="18.75" customHeight="1" thickBot="1">
      <c r="A16" s="276" t="s">
        <v>263</v>
      </c>
      <c r="B16" s="602">
        <v>0</v>
      </c>
      <c r="C16" s="602">
        <v>3</v>
      </c>
      <c r="D16" s="602">
        <v>3</v>
      </c>
      <c r="E16" s="602">
        <v>7</v>
      </c>
      <c r="F16" s="602">
        <v>11</v>
      </c>
      <c r="G16" s="602">
        <v>12</v>
      </c>
      <c r="H16" s="602">
        <v>2</v>
      </c>
      <c r="I16" s="602">
        <v>2</v>
      </c>
      <c r="J16" s="602">
        <v>1</v>
      </c>
      <c r="K16" s="602">
        <v>0</v>
      </c>
      <c r="L16" s="602">
        <v>0</v>
      </c>
      <c r="M16" s="601">
        <f t="shared" si="0"/>
        <v>41</v>
      </c>
      <c r="N16" s="274" t="s">
        <v>263</v>
      </c>
    </row>
    <row r="17" spans="1:14" ht="18.75" customHeight="1" thickBot="1">
      <c r="A17" s="276" t="s">
        <v>262</v>
      </c>
      <c r="B17" s="602">
        <v>0</v>
      </c>
      <c r="C17" s="602">
        <v>1</v>
      </c>
      <c r="D17" s="602">
        <v>1</v>
      </c>
      <c r="E17" s="602">
        <v>2</v>
      </c>
      <c r="F17" s="602">
        <v>5</v>
      </c>
      <c r="G17" s="602">
        <v>4</v>
      </c>
      <c r="H17" s="602">
        <v>3</v>
      </c>
      <c r="I17" s="602">
        <v>1</v>
      </c>
      <c r="J17" s="602">
        <v>0</v>
      </c>
      <c r="K17" s="602">
        <v>0</v>
      </c>
      <c r="L17" s="602">
        <v>0</v>
      </c>
      <c r="M17" s="601">
        <f t="shared" si="0"/>
        <v>17</v>
      </c>
      <c r="N17" s="274" t="s">
        <v>262</v>
      </c>
    </row>
    <row r="18" spans="1:14" ht="18.75" customHeight="1" thickBot="1">
      <c r="A18" s="276" t="s">
        <v>261</v>
      </c>
      <c r="B18" s="602">
        <v>0</v>
      </c>
      <c r="C18" s="602">
        <v>0</v>
      </c>
      <c r="D18" s="602">
        <v>0</v>
      </c>
      <c r="E18" s="602">
        <v>2</v>
      </c>
      <c r="F18" s="602">
        <v>0</v>
      </c>
      <c r="G18" s="602">
        <v>0</v>
      </c>
      <c r="H18" s="602">
        <v>1</v>
      </c>
      <c r="I18" s="602">
        <v>1</v>
      </c>
      <c r="J18" s="602">
        <v>0</v>
      </c>
      <c r="K18" s="602">
        <v>0</v>
      </c>
      <c r="L18" s="602">
        <v>0</v>
      </c>
      <c r="M18" s="601">
        <f t="shared" si="0"/>
        <v>4</v>
      </c>
      <c r="N18" s="274" t="s">
        <v>261</v>
      </c>
    </row>
    <row r="19" spans="1:14" ht="18.75" customHeight="1" thickBot="1">
      <c r="A19" s="276" t="s">
        <v>260</v>
      </c>
      <c r="B19" s="602">
        <v>0</v>
      </c>
      <c r="C19" s="602">
        <v>0</v>
      </c>
      <c r="D19" s="602">
        <v>0</v>
      </c>
      <c r="E19" s="602">
        <v>0</v>
      </c>
      <c r="F19" s="602">
        <v>0</v>
      </c>
      <c r="G19" s="602">
        <v>2</v>
      </c>
      <c r="H19" s="602">
        <v>0</v>
      </c>
      <c r="I19" s="602">
        <v>0</v>
      </c>
      <c r="J19" s="602">
        <v>1</v>
      </c>
      <c r="K19" s="602">
        <v>0</v>
      </c>
      <c r="L19" s="602">
        <v>0</v>
      </c>
      <c r="M19" s="601">
        <f t="shared" si="0"/>
        <v>3</v>
      </c>
      <c r="N19" s="274" t="s">
        <v>260</v>
      </c>
    </row>
    <row r="20" spans="1:14" ht="18.75" customHeight="1" thickBot="1">
      <c r="A20" s="276" t="s">
        <v>259</v>
      </c>
      <c r="B20" s="602">
        <v>0</v>
      </c>
      <c r="C20" s="602">
        <v>0</v>
      </c>
      <c r="D20" s="602">
        <v>0</v>
      </c>
      <c r="E20" s="602">
        <v>2</v>
      </c>
      <c r="F20" s="602">
        <v>0</v>
      </c>
      <c r="G20" s="602">
        <v>0</v>
      </c>
      <c r="H20" s="602">
        <v>1</v>
      </c>
      <c r="I20" s="602">
        <v>0</v>
      </c>
      <c r="J20" s="602">
        <v>0</v>
      </c>
      <c r="K20" s="602">
        <v>1</v>
      </c>
      <c r="L20" s="602">
        <v>0</v>
      </c>
      <c r="M20" s="601">
        <f t="shared" si="0"/>
        <v>4</v>
      </c>
      <c r="N20" s="274" t="s">
        <v>259</v>
      </c>
    </row>
    <row r="21" spans="1:14" ht="18.75" customHeight="1" thickBot="1">
      <c r="A21" s="276" t="s">
        <v>258</v>
      </c>
      <c r="B21" s="602">
        <v>0</v>
      </c>
      <c r="C21" s="602">
        <v>0</v>
      </c>
      <c r="D21" s="602">
        <v>0</v>
      </c>
      <c r="E21" s="602">
        <v>1</v>
      </c>
      <c r="F21" s="602">
        <v>0</v>
      </c>
      <c r="G21" s="602">
        <v>0</v>
      </c>
      <c r="H21" s="602">
        <v>0</v>
      </c>
      <c r="I21" s="602">
        <v>0</v>
      </c>
      <c r="J21" s="602">
        <v>0</v>
      </c>
      <c r="K21" s="602">
        <v>0</v>
      </c>
      <c r="L21" s="602">
        <v>0</v>
      </c>
      <c r="M21" s="601">
        <f t="shared" si="0"/>
        <v>1</v>
      </c>
      <c r="N21" s="274" t="s">
        <v>258</v>
      </c>
    </row>
    <row r="22" spans="1:14" ht="18.75" customHeight="1">
      <c r="A22" s="277" t="s">
        <v>19</v>
      </c>
      <c r="B22" s="604">
        <v>0</v>
      </c>
      <c r="C22" s="604">
        <v>0</v>
      </c>
      <c r="D22" s="604">
        <v>0</v>
      </c>
      <c r="E22" s="604">
        <v>0</v>
      </c>
      <c r="F22" s="604">
        <v>0</v>
      </c>
      <c r="G22" s="604">
        <v>0</v>
      </c>
      <c r="H22" s="604">
        <v>0</v>
      </c>
      <c r="I22" s="604">
        <v>0</v>
      </c>
      <c r="J22" s="604">
        <v>0</v>
      </c>
      <c r="K22" s="604">
        <v>0</v>
      </c>
      <c r="L22" s="604">
        <v>0</v>
      </c>
      <c r="M22" s="770">
        <f t="shared" si="0"/>
        <v>0</v>
      </c>
      <c r="N22" s="278" t="s">
        <v>20</v>
      </c>
    </row>
    <row r="23" spans="1:14" ht="18.75" customHeight="1">
      <c r="A23" s="772" t="s">
        <v>21</v>
      </c>
      <c r="B23" s="740">
        <f>SUBTOTAL(109,Table_Default__XLS_TAB_11_1[AGE_LEVEL_LESS_20])</f>
        <v>343</v>
      </c>
      <c r="C23" s="740">
        <f>SUBTOTAL(109,Table_Default__XLS_TAB_11_1[AGE_LEVEL_20_24])</f>
        <v>921</v>
      </c>
      <c r="D23" s="740">
        <f>SUBTOTAL(109,Table_Default__XLS_TAB_11_1[AGE_LEVEL_25_29])</f>
        <v>473</v>
      </c>
      <c r="E23" s="740">
        <f>SUBTOTAL(109,Table_Default__XLS_TAB_11_1[AGE_LEVEL_30_34])</f>
        <v>179</v>
      </c>
      <c r="F23" s="740">
        <f>SUBTOTAL(109,Table_Default__XLS_TAB_11_1[AGE_LEVEL_35_39])</f>
        <v>76</v>
      </c>
      <c r="G23" s="740">
        <f>SUBTOTAL(109,Table_Default__XLS_TAB_11_1[AGE_LEVEL_40_44])</f>
        <v>51</v>
      </c>
      <c r="H23" s="740">
        <f>SUBTOTAL(109,Table_Default__XLS_TAB_11_1[AGE_LEVEL_45_49])</f>
        <v>18</v>
      </c>
      <c r="I23" s="740">
        <f>SUBTOTAL(109,Table_Default__XLS_TAB_11_1[AGE_LEVEL_50_54])</f>
        <v>5</v>
      </c>
      <c r="J23" s="740">
        <f>SUBTOTAL(109,Table_Default__XLS_TAB_11_1[AGE_LEVEL_55_59])</f>
        <v>2</v>
      </c>
      <c r="K23" s="740">
        <f>SUBTOTAL(109,Table_Default__XLS_TAB_11_1[AGE_LEVEL_UP_60])</f>
        <v>1</v>
      </c>
      <c r="L23" s="740">
        <f>SUBTOTAL(109,Table_Default__XLS_TAB_11_1[AGE_LEVEL_NOT_STATED])</f>
        <v>0</v>
      </c>
      <c r="M23" s="740">
        <f>SUBTOTAL(109,Table_Default__XLS_TAB_11_1[TOTAL])</f>
        <v>2069</v>
      </c>
      <c r="N23" s="773" t="s">
        <v>176</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rightToLeft="1" view="pageBreakPreview" zoomScaleNormal="100" zoomScaleSheetLayoutView="100" workbookViewId="0">
      <selection activeCell="A3" sqref="A3:N3"/>
    </sheetView>
  </sheetViews>
  <sheetFormatPr defaultColWidth="9.140625" defaultRowHeight="12.75"/>
  <cols>
    <col min="1" max="1" width="17.5703125" style="1" customWidth="1"/>
    <col min="2" max="2" width="8.42578125" style="1" customWidth="1"/>
    <col min="3" max="3" width="8.85546875" style="1" customWidth="1"/>
    <col min="4" max="4" width="8.28515625" style="1" customWidth="1"/>
    <col min="5" max="5" width="9" style="1" customWidth="1"/>
    <col min="6" max="6" width="8.5703125" style="1" customWidth="1"/>
    <col min="7" max="7" width="7.7109375" style="1" customWidth="1"/>
    <col min="8" max="8" width="9" style="1" customWidth="1"/>
    <col min="9" max="9" width="7.28515625" style="1" customWidth="1"/>
    <col min="10" max="10" width="6.7109375" style="1" customWidth="1"/>
    <col min="11" max="11" width="7.42578125" style="1" customWidth="1"/>
    <col min="12" max="12" width="8.5703125" style="1" customWidth="1"/>
    <col min="13" max="13" width="9.42578125" style="1" customWidth="1"/>
    <col min="14" max="14" width="26.7109375" style="1" customWidth="1"/>
    <col min="15" max="16384" width="9.140625" style="1"/>
  </cols>
  <sheetData>
    <row r="1" spans="1:18" s="2" customFormat="1" ht="21.75" customHeight="1">
      <c r="A1" s="934" t="s">
        <v>291</v>
      </c>
      <c r="B1" s="934"/>
      <c r="C1" s="934"/>
      <c r="D1" s="934"/>
      <c r="E1" s="934"/>
      <c r="F1" s="934"/>
      <c r="G1" s="934"/>
      <c r="H1" s="934"/>
      <c r="I1" s="934"/>
      <c r="J1" s="934"/>
      <c r="K1" s="934"/>
      <c r="L1" s="934"/>
      <c r="M1" s="934"/>
      <c r="N1" s="934"/>
    </row>
    <row r="2" spans="1:18" s="2" customFormat="1" ht="15.75">
      <c r="A2" s="958" t="s">
        <v>290</v>
      </c>
      <c r="B2" s="958"/>
      <c r="C2" s="958"/>
      <c r="D2" s="958"/>
      <c r="E2" s="958"/>
      <c r="F2" s="958"/>
      <c r="G2" s="958"/>
      <c r="H2" s="958"/>
      <c r="I2" s="958"/>
      <c r="J2" s="958"/>
      <c r="K2" s="958"/>
      <c r="L2" s="958"/>
      <c r="M2" s="958"/>
      <c r="N2" s="958"/>
    </row>
    <row r="3" spans="1:18" s="2" customFormat="1" ht="18" customHeight="1">
      <c r="A3" s="959">
        <v>2015</v>
      </c>
      <c r="B3" s="959"/>
      <c r="C3" s="959"/>
      <c r="D3" s="959"/>
      <c r="E3" s="959"/>
      <c r="F3" s="959"/>
      <c r="G3" s="959"/>
      <c r="H3" s="959"/>
      <c r="I3" s="959"/>
      <c r="J3" s="959"/>
      <c r="K3" s="959"/>
      <c r="L3" s="959"/>
      <c r="M3" s="959"/>
      <c r="N3" s="959"/>
      <c r="O3" s="125"/>
      <c r="P3" s="125"/>
      <c r="Q3" s="125"/>
      <c r="R3" s="125"/>
    </row>
    <row r="4" spans="1:18" s="2" customFormat="1" ht="15.75">
      <c r="A4" s="959" t="s">
        <v>172</v>
      </c>
      <c r="B4" s="959"/>
      <c r="C4" s="959"/>
      <c r="D4" s="959"/>
      <c r="E4" s="959"/>
      <c r="F4" s="959"/>
      <c r="G4" s="959"/>
      <c r="H4" s="959"/>
      <c r="I4" s="959"/>
      <c r="J4" s="959"/>
      <c r="K4" s="959"/>
      <c r="L4" s="959"/>
      <c r="M4" s="959"/>
      <c r="N4" s="959"/>
    </row>
    <row r="5" spans="1:18" s="2" customFormat="1" ht="15.75">
      <c r="A5" s="635"/>
      <c r="B5" s="635"/>
      <c r="C5" s="635"/>
      <c r="D5" s="635"/>
      <c r="E5" s="635"/>
      <c r="F5" s="635"/>
      <c r="G5" s="635"/>
      <c r="H5" s="635"/>
      <c r="I5" s="635"/>
      <c r="J5" s="635"/>
      <c r="K5" s="635"/>
      <c r="L5" s="635"/>
      <c r="M5" s="635"/>
      <c r="N5" s="635"/>
    </row>
    <row r="6" spans="1:18" s="93" customFormat="1" ht="15.75">
      <c r="A6" s="648" t="s">
        <v>301</v>
      </c>
      <c r="B6" s="649"/>
      <c r="C6" s="649"/>
      <c r="D6" s="649"/>
      <c r="E6" s="649"/>
      <c r="F6" s="649"/>
      <c r="G6" s="649"/>
      <c r="H6" s="649"/>
      <c r="I6" s="649"/>
      <c r="J6" s="649"/>
      <c r="K6" s="649"/>
      <c r="L6" s="649"/>
      <c r="M6" s="649"/>
      <c r="N6" s="650" t="s">
        <v>300</v>
      </c>
    </row>
    <row r="7" spans="1:18" ht="26.25" customHeight="1" thickBot="1">
      <c r="A7" s="985" t="s">
        <v>289</v>
      </c>
      <c r="B7" s="969" t="s">
        <v>278</v>
      </c>
      <c r="C7" s="969"/>
      <c r="D7" s="969"/>
      <c r="E7" s="969"/>
      <c r="F7" s="969"/>
      <c r="G7" s="969"/>
      <c r="H7" s="969"/>
      <c r="I7" s="969"/>
      <c r="J7" s="969"/>
      <c r="K7" s="969"/>
      <c r="L7" s="969"/>
      <c r="M7" s="969"/>
      <c r="N7" s="987" t="s">
        <v>288</v>
      </c>
    </row>
    <row r="8" spans="1:18" ht="39.75" customHeight="1">
      <c r="A8" s="992"/>
      <c r="B8" s="577">
        <v>-20</v>
      </c>
      <c r="C8" s="577" t="s">
        <v>269</v>
      </c>
      <c r="D8" s="577" t="s">
        <v>268</v>
      </c>
      <c r="E8" s="577" t="s">
        <v>267</v>
      </c>
      <c r="F8" s="577" t="s">
        <v>266</v>
      </c>
      <c r="G8" s="577" t="s">
        <v>265</v>
      </c>
      <c r="H8" s="577" t="s">
        <v>264</v>
      </c>
      <c r="I8" s="577" t="s">
        <v>263</v>
      </c>
      <c r="J8" s="577" t="s">
        <v>262</v>
      </c>
      <c r="K8" s="577" t="s">
        <v>275</v>
      </c>
      <c r="L8" s="586" t="s">
        <v>257</v>
      </c>
      <c r="M8" s="583" t="s">
        <v>256</v>
      </c>
      <c r="N8" s="993"/>
    </row>
    <row r="9" spans="1:18" ht="18.75" customHeight="1" thickBot="1">
      <c r="A9" s="275" t="s">
        <v>751</v>
      </c>
      <c r="B9" s="600">
        <v>10</v>
      </c>
      <c r="C9" s="600">
        <v>3</v>
      </c>
      <c r="D9" s="600">
        <v>0</v>
      </c>
      <c r="E9" s="600">
        <v>1</v>
      </c>
      <c r="F9" s="600">
        <v>0</v>
      </c>
      <c r="G9" s="600">
        <v>0</v>
      </c>
      <c r="H9" s="600">
        <v>0</v>
      </c>
      <c r="I9" s="600">
        <v>0</v>
      </c>
      <c r="J9" s="600">
        <v>0</v>
      </c>
      <c r="K9" s="600">
        <v>0</v>
      </c>
      <c r="L9" s="600">
        <v>0</v>
      </c>
      <c r="M9" s="600">
        <f>SUM(B9:L9)</f>
        <v>14</v>
      </c>
      <c r="N9" s="273" t="s">
        <v>751</v>
      </c>
    </row>
    <row r="10" spans="1:18" ht="18.75" customHeight="1" thickBot="1">
      <c r="A10" s="276" t="s">
        <v>269</v>
      </c>
      <c r="B10" s="602">
        <v>79</v>
      </c>
      <c r="C10" s="602">
        <v>159</v>
      </c>
      <c r="D10" s="602">
        <v>35</v>
      </c>
      <c r="E10" s="602">
        <v>10</v>
      </c>
      <c r="F10" s="602">
        <v>2</v>
      </c>
      <c r="G10" s="602">
        <v>2</v>
      </c>
      <c r="H10" s="602">
        <v>2</v>
      </c>
      <c r="I10" s="602">
        <v>1</v>
      </c>
      <c r="J10" s="602">
        <v>0</v>
      </c>
      <c r="K10" s="602">
        <v>0</v>
      </c>
      <c r="L10" s="602">
        <v>0</v>
      </c>
      <c r="M10" s="600">
        <f t="shared" ref="M10:M22" si="0">SUM(B10:L10)</f>
        <v>290</v>
      </c>
      <c r="N10" s="274" t="s">
        <v>269</v>
      </c>
    </row>
    <row r="11" spans="1:18" ht="18.75" customHeight="1" thickBot="1">
      <c r="A11" s="276" t="s">
        <v>268</v>
      </c>
      <c r="B11" s="602">
        <v>69</v>
      </c>
      <c r="C11" s="602">
        <v>238</v>
      </c>
      <c r="D11" s="602">
        <v>245</v>
      </c>
      <c r="E11" s="602">
        <v>54</v>
      </c>
      <c r="F11" s="602">
        <v>19</v>
      </c>
      <c r="G11" s="602">
        <v>0</v>
      </c>
      <c r="H11" s="602">
        <v>0</v>
      </c>
      <c r="I11" s="602">
        <v>0</v>
      </c>
      <c r="J11" s="602">
        <v>0</v>
      </c>
      <c r="K11" s="602">
        <v>0</v>
      </c>
      <c r="L11" s="602">
        <v>0</v>
      </c>
      <c r="M11" s="600">
        <f t="shared" si="0"/>
        <v>625</v>
      </c>
      <c r="N11" s="274" t="s">
        <v>268</v>
      </c>
    </row>
    <row r="12" spans="1:18" ht="18.75" customHeight="1" thickBot="1">
      <c r="A12" s="276" t="s">
        <v>267</v>
      </c>
      <c r="B12" s="602">
        <v>16</v>
      </c>
      <c r="C12" s="602">
        <v>72</v>
      </c>
      <c r="D12" s="602">
        <v>174</v>
      </c>
      <c r="E12" s="602">
        <v>97</v>
      </c>
      <c r="F12" s="602">
        <v>36</v>
      </c>
      <c r="G12" s="602">
        <v>3</v>
      </c>
      <c r="H12" s="602">
        <v>6</v>
      </c>
      <c r="I12" s="602">
        <v>3</v>
      </c>
      <c r="J12" s="602">
        <v>0</v>
      </c>
      <c r="K12" s="602">
        <v>1</v>
      </c>
      <c r="L12" s="602">
        <v>0</v>
      </c>
      <c r="M12" s="600">
        <f t="shared" si="0"/>
        <v>408</v>
      </c>
      <c r="N12" s="274" t="s">
        <v>267</v>
      </c>
    </row>
    <row r="13" spans="1:18" ht="18.75" customHeight="1" thickBot="1">
      <c r="A13" s="276" t="s">
        <v>266</v>
      </c>
      <c r="B13" s="602">
        <v>4</v>
      </c>
      <c r="C13" s="602">
        <v>10</v>
      </c>
      <c r="D13" s="602">
        <v>46</v>
      </c>
      <c r="E13" s="602">
        <v>65</v>
      </c>
      <c r="F13" s="602">
        <v>24</v>
      </c>
      <c r="G13" s="602">
        <v>6</v>
      </c>
      <c r="H13" s="602">
        <v>1</v>
      </c>
      <c r="I13" s="602">
        <v>0</v>
      </c>
      <c r="J13" s="602">
        <v>0</v>
      </c>
      <c r="K13" s="602">
        <v>0</v>
      </c>
      <c r="L13" s="602">
        <v>0</v>
      </c>
      <c r="M13" s="600">
        <f t="shared" si="0"/>
        <v>156</v>
      </c>
      <c r="N13" s="274" t="s">
        <v>266</v>
      </c>
    </row>
    <row r="14" spans="1:18" ht="18.75" customHeight="1" thickBot="1">
      <c r="A14" s="276" t="s">
        <v>265</v>
      </c>
      <c r="B14" s="602">
        <v>1</v>
      </c>
      <c r="C14" s="602">
        <v>1</v>
      </c>
      <c r="D14" s="602">
        <v>7</v>
      </c>
      <c r="E14" s="602">
        <v>22</v>
      </c>
      <c r="F14" s="602">
        <v>15</v>
      </c>
      <c r="G14" s="602">
        <v>5</v>
      </c>
      <c r="H14" s="602">
        <v>0</v>
      </c>
      <c r="I14" s="602">
        <v>1</v>
      </c>
      <c r="J14" s="602">
        <v>1</v>
      </c>
      <c r="K14" s="602">
        <v>0</v>
      </c>
      <c r="L14" s="602">
        <v>0</v>
      </c>
      <c r="M14" s="600">
        <f t="shared" si="0"/>
        <v>53</v>
      </c>
      <c r="N14" s="274" t="s">
        <v>265</v>
      </c>
    </row>
    <row r="15" spans="1:18" ht="18.75" customHeight="1" thickBot="1">
      <c r="A15" s="276" t="s">
        <v>264</v>
      </c>
      <c r="B15" s="602">
        <v>0</v>
      </c>
      <c r="C15" s="602">
        <v>1</v>
      </c>
      <c r="D15" s="602">
        <v>10</v>
      </c>
      <c r="E15" s="602">
        <v>13</v>
      </c>
      <c r="F15" s="602">
        <v>16</v>
      </c>
      <c r="G15" s="602">
        <v>12</v>
      </c>
      <c r="H15" s="602">
        <v>5</v>
      </c>
      <c r="I15" s="602">
        <v>1</v>
      </c>
      <c r="J15" s="602">
        <v>0</v>
      </c>
      <c r="K15" s="602">
        <v>0</v>
      </c>
      <c r="L15" s="602">
        <v>0</v>
      </c>
      <c r="M15" s="600">
        <f t="shared" si="0"/>
        <v>58</v>
      </c>
      <c r="N15" s="274" t="s">
        <v>264</v>
      </c>
    </row>
    <row r="16" spans="1:18" ht="18.75" customHeight="1" thickBot="1">
      <c r="A16" s="276" t="s">
        <v>263</v>
      </c>
      <c r="B16" s="602">
        <v>1</v>
      </c>
      <c r="C16" s="602">
        <v>1</v>
      </c>
      <c r="D16" s="602">
        <v>2</v>
      </c>
      <c r="E16" s="602">
        <v>4</v>
      </c>
      <c r="F16" s="602">
        <v>8</v>
      </c>
      <c r="G16" s="602">
        <v>6</v>
      </c>
      <c r="H16" s="602">
        <v>2</v>
      </c>
      <c r="I16" s="602">
        <v>0</v>
      </c>
      <c r="J16" s="602">
        <v>1</v>
      </c>
      <c r="K16" s="602">
        <v>0</v>
      </c>
      <c r="L16" s="602">
        <v>0</v>
      </c>
      <c r="M16" s="600">
        <f t="shared" si="0"/>
        <v>25</v>
      </c>
      <c r="N16" s="274" t="s">
        <v>263</v>
      </c>
    </row>
    <row r="17" spans="1:14" ht="18.75" customHeight="1" thickBot="1">
      <c r="A17" s="276" t="s">
        <v>262</v>
      </c>
      <c r="B17" s="602">
        <v>0</v>
      </c>
      <c r="C17" s="602">
        <v>0</v>
      </c>
      <c r="D17" s="602">
        <v>2</v>
      </c>
      <c r="E17" s="602">
        <v>2</v>
      </c>
      <c r="F17" s="602">
        <v>0</v>
      </c>
      <c r="G17" s="602">
        <v>3</v>
      </c>
      <c r="H17" s="602">
        <v>3</v>
      </c>
      <c r="I17" s="602">
        <v>0</v>
      </c>
      <c r="J17" s="602">
        <v>1</v>
      </c>
      <c r="K17" s="602">
        <v>0</v>
      </c>
      <c r="L17" s="602">
        <v>0</v>
      </c>
      <c r="M17" s="600">
        <f t="shared" si="0"/>
        <v>11</v>
      </c>
      <c r="N17" s="274" t="s">
        <v>262</v>
      </c>
    </row>
    <row r="18" spans="1:14" ht="18.75" customHeight="1" thickBot="1">
      <c r="A18" s="276" t="s">
        <v>261</v>
      </c>
      <c r="B18" s="602">
        <v>0</v>
      </c>
      <c r="C18" s="602">
        <v>0</v>
      </c>
      <c r="D18" s="602">
        <v>0</v>
      </c>
      <c r="E18" s="602">
        <v>1</v>
      </c>
      <c r="F18" s="602">
        <v>2</v>
      </c>
      <c r="G18" s="602">
        <v>3</v>
      </c>
      <c r="H18" s="602">
        <v>0</v>
      </c>
      <c r="I18" s="602">
        <v>1</v>
      </c>
      <c r="J18" s="602">
        <v>0</v>
      </c>
      <c r="K18" s="602">
        <v>0</v>
      </c>
      <c r="L18" s="602">
        <v>0</v>
      </c>
      <c r="M18" s="600">
        <f t="shared" si="0"/>
        <v>7</v>
      </c>
      <c r="N18" s="274" t="s">
        <v>261</v>
      </c>
    </row>
    <row r="19" spans="1:14" ht="18.75" customHeight="1" thickBot="1">
      <c r="A19" s="276" t="s">
        <v>260</v>
      </c>
      <c r="B19" s="602">
        <v>0</v>
      </c>
      <c r="C19" s="602">
        <v>0</v>
      </c>
      <c r="D19" s="602">
        <v>0</v>
      </c>
      <c r="E19" s="602">
        <v>1</v>
      </c>
      <c r="F19" s="602">
        <v>0</v>
      </c>
      <c r="G19" s="602">
        <v>1</v>
      </c>
      <c r="H19" s="602">
        <v>1</v>
      </c>
      <c r="I19" s="602">
        <v>1</v>
      </c>
      <c r="J19" s="602">
        <v>1</v>
      </c>
      <c r="K19" s="602">
        <v>0</v>
      </c>
      <c r="L19" s="602">
        <v>0</v>
      </c>
      <c r="M19" s="600">
        <f t="shared" si="0"/>
        <v>5</v>
      </c>
      <c r="N19" s="274" t="s">
        <v>260</v>
      </c>
    </row>
    <row r="20" spans="1:14" ht="18.75" customHeight="1" thickBot="1">
      <c r="A20" s="276" t="s">
        <v>259</v>
      </c>
      <c r="B20" s="602">
        <v>0</v>
      </c>
      <c r="C20" s="602">
        <v>0</v>
      </c>
      <c r="D20" s="602">
        <v>0</v>
      </c>
      <c r="E20" s="602">
        <v>0</v>
      </c>
      <c r="F20" s="602">
        <v>0</v>
      </c>
      <c r="G20" s="602">
        <v>2</v>
      </c>
      <c r="H20" s="602">
        <v>0</v>
      </c>
      <c r="I20" s="602">
        <v>0</v>
      </c>
      <c r="J20" s="602">
        <v>0</v>
      </c>
      <c r="K20" s="602">
        <v>0</v>
      </c>
      <c r="L20" s="602">
        <v>0</v>
      </c>
      <c r="M20" s="600">
        <f t="shared" si="0"/>
        <v>2</v>
      </c>
      <c r="N20" s="274" t="s">
        <v>259</v>
      </c>
    </row>
    <row r="21" spans="1:14" ht="18.75" customHeight="1" thickBot="1">
      <c r="A21" s="276" t="s">
        <v>258</v>
      </c>
      <c r="B21" s="602">
        <v>0</v>
      </c>
      <c r="C21" s="602">
        <v>0</v>
      </c>
      <c r="D21" s="602">
        <v>0</v>
      </c>
      <c r="E21" s="602">
        <v>0</v>
      </c>
      <c r="F21" s="602">
        <v>1</v>
      </c>
      <c r="G21" s="602">
        <v>0</v>
      </c>
      <c r="H21" s="602">
        <v>0</v>
      </c>
      <c r="I21" s="602">
        <v>0</v>
      </c>
      <c r="J21" s="602">
        <v>0</v>
      </c>
      <c r="K21" s="602">
        <v>0</v>
      </c>
      <c r="L21" s="602">
        <v>0</v>
      </c>
      <c r="M21" s="600">
        <f t="shared" si="0"/>
        <v>1</v>
      </c>
      <c r="N21" s="274" t="s">
        <v>258</v>
      </c>
    </row>
    <row r="22" spans="1:14" ht="18.75" customHeight="1">
      <c r="A22" s="277" t="s">
        <v>19</v>
      </c>
      <c r="B22" s="604">
        <v>0</v>
      </c>
      <c r="C22" s="604">
        <v>0</v>
      </c>
      <c r="D22" s="604">
        <v>0</v>
      </c>
      <c r="E22" s="604">
        <v>0</v>
      </c>
      <c r="F22" s="604">
        <v>0</v>
      </c>
      <c r="G22" s="604">
        <v>0</v>
      </c>
      <c r="H22" s="604">
        <v>0</v>
      </c>
      <c r="I22" s="604">
        <v>0</v>
      </c>
      <c r="J22" s="604">
        <v>0</v>
      </c>
      <c r="K22" s="604">
        <v>0</v>
      </c>
      <c r="L22" s="604">
        <v>0</v>
      </c>
      <c r="M22" s="774">
        <f t="shared" si="0"/>
        <v>0</v>
      </c>
      <c r="N22" s="278" t="s">
        <v>20</v>
      </c>
    </row>
    <row r="23" spans="1:14" ht="18.75" customHeight="1">
      <c r="A23" s="772" t="s">
        <v>21</v>
      </c>
      <c r="B23" s="740">
        <f>SUBTOTAL(109,Table_Default__XLS_TAB_11_2[AGE_LEVEL_LESS_20])</f>
        <v>180</v>
      </c>
      <c r="C23" s="740">
        <f>SUBTOTAL(109,Table_Default__XLS_TAB_11_2[AGE_LEVEL_20_24])</f>
        <v>485</v>
      </c>
      <c r="D23" s="740">
        <f>SUBTOTAL(109,Table_Default__XLS_TAB_11_2[AGE_LEVEL_25_29])</f>
        <v>521</v>
      </c>
      <c r="E23" s="740">
        <f>SUBTOTAL(109,Table_Default__XLS_TAB_11_2[AGE_LEVEL_30_34])</f>
        <v>270</v>
      </c>
      <c r="F23" s="740">
        <f>SUBTOTAL(109,Table_Default__XLS_TAB_11_2[AGE_LEVEL_35_39])</f>
        <v>123</v>
      </c>
      <c r="G23" s="740">
        <f>SUBTOTAL(109,Table_Default__XLS_TAB_11_2[AGE_LEVEL_40_44])</f>
        <v>43</v>
      </c>
      <c r="H23" s="740">
        <f>SUBTOTAL(109,Table_Default__XLS_TAB_11_2[AGE_LEVEL_45_49])</f>
        <v>20</v>
      </c>
      <c r="I23" s="740">
        <f>SUBTOTAL(109,Table_Default__XLS_TAB_11_2[AGE_LEVEL_50_54])</f>
        <v>8</v>
      </c>
      <c r="J23" s="740">
        <f>SUBTOTAL(109,Table_Default__XLS_TAB_11_2[AGE_LEVEL_55_59])</f>
        <v>4</v>
      </c>
      <c r="K23" s="740">
        <f>SUBTOTAL(109,Table_Default__XLS_TAB_11_2[AGE_LEVEL_UP_60])</f>
        <v>1</v>
      </c>
      <c r="L23" s="740">
        <f>SUBTOTAL(109,Table_Default__XLS_TAB_11_2[AGE_LEVEL_NOT_STATED])</f>
        <v>0</v>
      </c>
      <c r="M23" s="740">
        <f>SUBTOTAL(109,Table_Default__XLS_TAB_11_2[TOTAL])</f>
        <v>1655</v>
      </c>
      <c r="N23" s="773" t="s">
        <v>176</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rightToLeft="1" view="pageBreakPreview" zoomScaleNormal="100" zoomScaleSheetLayoutView="100" workbookViewId="0">
      <selection activeCell="A3" sqref="A3:N3"/>
    </sheetView>
  </sheetViews>
  <sheetFormatPr defaultColWidth="9.140625" defaultRowHeight="12.75"/>
  <cols>
    <col min="1" max="1" width="17.5703125" style="1" customWidth="1"/>
    <col min="2" max="2" width="8.42578125" style="1" customWidth="1"/>
    <col min="3" max="3" width="8.85546875" style="1" customWidth="1"/>
    <col min="4" max="4" width="8.28515625" style="1" customWidth="1"/>
    <col min="5" max="5" width="9" style="1" customWidth="1"/>
    <col min="6" max="6" width="8.5703125" style="1" customWidth="1"/>
    <col min="7" max="7" width="7.7109375" style="1" customWidth="1"/>
    <col min="8" max="8" width="9" style="1" customWidth="1"/>
    <col min="9" max="9" width="7.28515625" style="1" customWidth="1"/>
    <col min="10" max="10" width="6.7109375" style="1" customWidth="1"/>
    <col min="11" max="11" width="7.42578125" style="1" customWidth="1"/>
    <col min="12" max="12" width="8.5703125" style="1" customWidth="1"/>
    <col min="13" max="13" width="9.42578125" style="1" customWidth="1"/>
    <col min="14" max="14" width="26.7109375" style="1" customWidth="1"/>
    <col min="15" max="16384" width="9.140625" style="1"/>
  </cols>
  <sheetData>
    <row r="1" spans="1:18" s="2" customFormat="1" ht="21.75" customHeight="1">
      <c r="A1" s="934" t="s">
        <v>291</v>
      </c>
      <c r="B1" s="934"/>
      <c r="C1" s="934"/>
      <c r="D1" s="934"/>
      <c r="E1" s="934"/>
      <c r="F1" s="934"/>
      <c r="G1" s="934"/>
      <c r="H1" s="934"/>
      <c r="I1" s="934"/>
      <c r="J1" s="934"/>
      <c r="K1" s="934"/>
      <c r="L1" s="934"/>
      <c r="M1" s="934"/>
      <c r="N1" s="934"/>
    </row>
    <row r="2" spans="1:18" s="2" customFormat="1" ht="15.75">
      <c r="A2" s="958" t="s">
        <v>290</v>
      </c>
      <c r="B2" s="958"/>
      <c r="C2" s="958"/>
      <c r="D2" s="958"/>
      <c r="E2" s="958"/>
      <c r="F2" s="958"/>
      <c r="G2" s="958"/>
      <c r="H2" s="958"/>
      <c r="I2" s="958"/>
      <c r="J2" s="958"/>
      <c r="K2" s="958"/>
      <c r="L2" s="958"/>
      <c r="M2" s="958"/>
      <c r="N2" s="958"/>
    </row>
    <row r="3" spans="1:18" s="2" customFormat="1" ht="18" customHeight="1">
      <c r="A3" s="959">
        <v>2015</v>
      </c>
      <c r="B3" s="959"/>
      <c r="C3" s="959"/>
      <c r="D3" s="959"/>
      <c r="E3" s="959"/>
      <c r="F3" s="959"/>
      <c r="G3" s="959"/>
      <c r="H3" s="959"/>
      <c r="I3" s="959"/>
      <c r="J3" s="959"/>
      <c r="K3" s="959"/>
      <c r="L3" s="959"/>
      <c r="M3" s="959"/>
      <c r="N3" s="959"/>
      <c r="O3" s="125"/>
      <c r="P3" s="125"/>
      <c r="Q3" s="125"/>
      <c r="R3" s="125"/>
    </row>
    <row r="4" spans="1:18" s="2" customFormat="1" ht="15.75">
      <c r="A4" s="959" t="s">
        <v>1</v>
      </c>
      <c r="B4" s="959"/>
      <c r="C4" s="959"/>
      <c r="D4" s="959"/>
      <c r="E4" s="959"/>
      <c r="F4" s="959"/>
      <c r="G4" s="959"/>
      <c r="H4" s="959"/>
      <c r="I4" s="959"/>
      <c r="J4" s="959"/>
      <c r="K4" s="959"/>
      <c r="L4" s="959"/>
      <c r="M4" s="959"/>
      <c r="N4" s="959"/>
    </row>
    <row r="5" spans="1:18" s="2" customFormat="1" ht="15.75">
      <c r="A5" s="635"/>
      <c r="B5" s="635"/>
      <c r="C5" s="635"/>
      <c r="D5" s="635"/>
      <c r="E5" s="635"/>
      <c r="F5" s="635"/>
      <c r="G5" s="635"/>
      <c r="H5" s="635"/>
      <c r="I5" s="635"/>
      <c r="J5" s="635"/>
      <c r="K5" s="635"/>
      <c r="L5" s="635"/>
      <c r="M5" s="635"/>
      <c r="N5" s="635"/>
    </row>
    <row r="6" spans="1:18" s="93" customFormat="1" ht="15.75">
      <c r="A6" s="648" t="s">
        <v>303</v>
      </c>
      <c r="B6" s="649"/>
      <c r="C6" s="649"/>
      <c r="D6" s="649"/>
      <c r="E6" s="649"/>
      <c r="F6" s="649"/>
      <c r="G6" s="649"/>
      <c r="H6" s="649"/>
      <c r="I6" s="649"/>
      <c r="J6" s="649"/>
      <c r="K6" s="649"/>
      <c r="L6" s="649"/>
      <c r="M6" s="649"/>
      <c r="N6" s="650" t="s">
        <v>302</v>
      </c>
    </row>
    <row r="7" spans="1:18" ht="26.25" customHeight="1" thickBot="1">
      <c r="A7" s="985" t="s">
        <v>289</v>
      </c>
      <c r="B7" s="969" t="s">
        <v>278</v>
      </c>
      <c r="C7" s="969"/>
      <c r="D7" s="969"/>
      <c r="E7" s="969"/>
      <c r="F7" s="969"/>
      <c r="G7" s="969"/>
      <c r="H7" s="969"/>
      <c r="I7" s="969"/>
      <c r="J7" s="969"/>
      <c r="K7" s="969"/>
      <c r="L7" s="969"/>
      <c r="M7" s="969"/>
      <c r="N7" s="987" t="s">
        <v>288</v>
      </c>
    </row>
    <row r="8" spans="1:18" ht="39.75" customHeight="1">
      <c r="A8" s="992"/>
      <c r="B8" s="577">
        <v>-20</v>
      </c>
      <c r="C8" s="577" t="s">
        <v>269</v>
      </c>
      <c r="D8" s="577" t="s">
        <v>268</v>
      </c>
      <c r="E8" s="577" t="s">
        <v>267</v>
      </c>
      <c r="F8" s="577" t="s">
        <v>266</v>
      </c>
      <c r="G8" s="577" t="s">
        <v>265</v>
      </c>
      <c r="H8" s="577" t="s">
        <v>264</v>
      </c>
      <c r="I8" s="577" t="s">
        <v>263</v>
      </c>
      <c r="J8" s="577" t="s">
        <v>262</v>
      </c>
      <c r="K8" s="577" t="s">
        <v>275</v>
      </c>
      <c r="L8" s="586" t="s">
        <v>257</v>
      </c>
      <c r="M8" s="583" t="s">
        <v>256</v>
      </c>
      <c r="N8" s="993"/>
    </row>
    <row r="9" spans="1:18" ht="18.75" customHeight="1" thickBot="1">
      <c r="A9" s="275" t="s">
        <v>751</v>
      </c>
      <c r="B9" s="600">
        <v>40</v>
      </c>
      <c r="C9" s="600">
        <v>16</v>
      </c>
      <c r="D9" s="600">
        <v>1</v>
      </c>
      <c r="E9" s="600">
        <v>1</v>
      </c>
      <c r="F9" s="600">
        <v>0</v>
      </c>
      <c r="G9" s="600">
        <v>1</v>
      </c>
      <c r="H9" s="600">
        <v>0</v>
      </c>
      <c r="I9" s="600">
        <v>0</v>
      </c>
      <c r="J9" s="600">
        <v>0</v>
      </c>
      <c r="K9" s="600">
        <v>0</v>
      </c>
      <c r="L9" s="600">
        <v>0</v>
      </c>
      <c r="M9" s="600">
        <f>SUM(B9:L9)</f>
        <v>59</v>
      </c>
      <c r="N9" s="273" t="s">
        <v>751</v>
      </c>
    </row>
    <row r="10" spans="1:18" ht="18.75" customHeight="1" thickBot="1">
      <c r="A10" s="276" t="s">
        <v>269</v>
      </c>
      <c r="B10" s="602">
        <v>281</v>
      </c>
      <c r="C10" s="602">
        <v>584</v>
      </c>
      <c r="D10" s="602">
        <v>95</v>
      </c>
      <c r="E10" s="602">
        <v>16</v>
      </c>
      <c r="F10" s="602">
        <v>3</v>
      </c>
      <c r="G10" s="602">
        <v>2</v>
      </c>
      <c r="H10" s="602">
        <v>2</v>
      </c>
      <c r="I10" s="602">
        <v>1</v>
      </c>
      <c r="J10" s="602">
        <v>0</v>
      </c>
      <c r="K10" s="602">
        <v>0</v>
      </c>
      <c r="L10" s="602">
        <v>0</v>
      </c>
      <c r="M10" s="600">
        <f t="shared" ref="M10:M22" si="0">SUM(B10:L10)</f>
        <v>984</v>
      </c>
      <c r="N10" s="274" t="s">
        <v>269</v>
      </c>
    </row>
    <row r="11" spans="1:18" ht="18.75" customHeight="1" thickBot="1">
      <c r="A11" s="276" t="s">
        <v>268</v>
      </c>
      <c r="B11" s="602">
        <v>167</v>
      </c>
      <c r="C11" s="602">
        <v>628</v>
      </c>
      <c r="D11" s="602">
        <v>478</v>
      </c>
      <c r="E11" s="602">
        <v>81</v>
      </c>
      <c r="F11" s="602">
        <v>22</v>
      </c>
      <c r="G11" s="602">
        <v>1</v>
      </c>
      <c r="H11" s="602">
        <v>1</v>
      </c>
      <c r="I11" s="602">
        <v>0</v>
      </c>
      <c r="J11" s="602">
        <v>0</v>
      </c>
      <c r="K11" s="602">
        <v>0</v>
      </c>
      <c r="L11" s="602">
        <v>0</v>
      </c>
      <c r="M11" s="600">
        <f t="shared" si="0"/>
        <v>1378</v>
      </c>
      <c r="N11" s="274" t="s">
        <v>268</v>
      </c>
    </row>
    <row r="12" spans="1:18" ht="18.75" customHeight="1" thickBot="1">
      <c r="A12" s="276" t="s">
        <v>267</v>
      </c>
      <c r="B12" s="602">
        <v>28</v>
      </c>
      <c r="C12" s="602">
        <v>140</v>
      </c>
      <c r="D12" s="602">
        <v>288</v>
      </c>
      <c r="E12" s="602">
        <v>147</v>
      </c>
      <c r="F12" s="602">
        <v>49</v>
      </c>
      <c r="G12" s="602">
        <v>6</v>
      </c>
      <c r="H12" s="602">
        <v>6</v>
      </c>
      <c r="I12" s="602">
        <v>3</v>
      </c>
      <c r="J12" s="602">
        <v>0</v>
      </c>
      <c r="K12" s="602">
        <v>1</v>
      </c>
      <c r="L12" s="602">
        <v>0</v>
      </c>
      <c r="M12" s="600">
        <f t="shared" si="0"/>
        <v>668</v>
      </c>
      <c r="N12" s="274" t="s">
        <v>267</v>
      </c>
    </row>
    <row r="13" spans="1:18" ht="18.75" customHeight="1" thickBot="1">
      <c r="A13" s="276" t="s">
        <v>266</v>
      </c>
      <c r="B13" s="602">
        <v>4</v>
      </c>
      <c r="C13" s="602">
        <v>26</v>
      </c>
      <c r="D13" s="602">
        <v>83</v>
      </c>
      <c r="E13" s="602">
        <v>111</v>
      </c>
      <c r="F13" s="602">
        <v>39</v>
      </c>
      <c r="G13" s="602">
        <v>12</v>
      </c>
      <c r="H13" s="602">
        <v>1</v>
      </c>
      <c r="I13" s="602">
        <v>0</v>
      </c>
      <c r="J13" s="602">
        <v>0</v>
      </c>
      <c r="K13" s="602">
        <v>0</v>
      </c>
      <c r="L13" s="602">
        <v>0</v>
      </c>
      <c r="M13" s="600">
        <f t="shared" si="0"/>
        <v>276</v>
      </c>
      <c r="N13" s="274" t="s">
        <v>266</v>
      </c>
    </row>
    <row r="14" spans="1:18" ht="18.75" customHeight="1" thickBot="1">
      <c r="A14" s="276" t="s">
        <v>265</v>
      </c>
      <c r="B14" s="602">
        <v>1</v>
      </c>
      <c r="C14" s="602">
        <v>3</v>
      </c>
      <c r="D14" s="602">
        <v>19</v>
      </c>
      <c r="E14" s="602">
        <v>43</v>
      </c>
      <c r="F14" s="602">
        <v>33</v>
      </c>
      <c r="G14" s="602">
        <v>18</v>
      </c>
      <c r="H14" s="602">
        <v>2</v>
      </c>
      <c r="I14" s="602">
        <v>1</v>
      </c>
      <c r="J14" s="602">
        <v>1</v>
      </c>
      <c r="K14" s="602">
        <v>0</v>
      </c>
      <c r="L14" s="602">
        <v>0</v>
      </c>
      <c r="M14" s="600">
        <f t="shared" si="0"/>
        <v>121</v>
      </c>
      <c r="N14" s="274" t="s">
        <v>265</v>
      </c>
    </row>
    <row r="15" spans="1:18" ht="18.75" customHeight="1" thickBot="1">
      <c r="A15" s="276" t="s">
        <v>264</v>
      </c>
      <c r="B15" s="602">
        <v>1</v>
      </c>
      <c r="C15" s="602">
        <v>4</v>
      </c>
      <c r="D15" s="602">
        <v>22</v>
      </c>
      <c r="E15" s="602">
        <v>28</v>
      </c>
      <c r="F15" s="602">
        <v>26</v>
      </c>
      <c r="G15" s="602">
        <v>21</v>
      </c>
      <c r="H15" s="602">
        <v>13</v>
      </c>
      <c r="I15" s="602">
        <v>2</v>
      </c>
      <c r="J15" s="602">
        <v>0</v>
      </c>
      <c r="K15" s="602">
        <v>0</v>
      </c>
      <c r="L15" s="602">
        <v>0</v>
      </c>
      <c r="M15" s="600">
        <f t="shared" si="0"/>
        <v>117</v>
      </c>
      <c r="N15" s="274" t="s">
        <v>264</v>
      </c>
    </row>
    <row r="16" spans="1:18" ht="18.75" customHeight="1" thickBot="1">
      <c r="A16" s="276" t="s">
        <v>263</v>
      </c>
      <c r="B16" s="602">
        <v>1</v>
      </c>
      <c r="C16" s="602">
        <v>4</v>
      </c>
      <c r="D16" s="602">
        <v>5</v>
      </c>
      <c r="E16" s="602">
        <v>11</v>
      </c>
      <c r="F16" s="602">
        <v>19</v>
      </c>
      <c r="G16" s="602">
        <v>18</v>
      </c>
      <c r="H16" s="602">
        <v>4</v>
      </c>
      <c r="I16" s="602">
        <v>2</v>
      </c>
      <c r="J16" s="602">
        <v>2</v>
      </c>
      <c r="K16" s="602">
        <v>0</v>
      </c>
      <c r="L16" s="602">
        <v>0</v>
      </c>
      <c r="M16" s="600">
        <f t="shared" si="0"/>
        <v>66</v>
      </c>
      <c r="N16" s="274" t="s">
        <v>263</v>
      </c>
    </row>
    <row r="17" spans="1:14" ht="18.75" customHeight="1" thickBot="1">
      <c r="A17" s="276" t="s">
        <v>262</v>
      </c>
      <c r="B17" s="602">
        <v>0</v>
      </c>
      <c r="C17" s="602">
        <v>1</v>
      </c>
      <c r="D17" s="602">
        <v>3</v>
      </c>
      <c r="E17" s="602">
        <v>4</v>
      </c>
      <c r="F17" s="602">
        <v>5</v>
      </c>
      <c r="G17" s="602">
        <v>7</v>
      </c>
      <c r="H17" s="602">
        <v>6</v>
      </c>
      <c r="I17" s="602">
        <v>1</v>
      </c>
      <c r="J17" s="602">
        <v>1</v>
      </c>
      <c r="K17" s="602">
        <v>0</v>
      </c>
      <c r="L17" s="602">
        <v>0</v>
      </c>
      <c r="M17" s="600">
        <f t="shared" si="0"/>
        <v>28</v>
      </c>
      <c r="N17" s="274" t="s">
        <v>262</v>
      </c>
    </row>
    <row r="18" spans="1:14" ht="18.75" customHeight="1" thickBot="1">
      <c r="A18" s="276" t="s">
        <v>261</v>
      </c>
      <c r="B18" s="602">
        <v>0</v>
      </c>
      <c r="C18" s="602">
        <v>0</v>
      </c>
      <c r="D18" s="602">
        <v>0</v>
      </c>
      <c r="E18" s="602">
        <v>3</v>
      </c>
      <c r="F18" s="602">
        <v>2</v>
      </c>
      <c r="G18" s="602">
        <v>3</v>
      </c>
      <c r="H18" s="602">
        <v>1</v>
      </c>
      <c r="I18" s="602">
        <v>2</v>
      </c>
      <c r="J18" s="602">
        <v>0</v>
      </c>
      <c r="K18" s="602">
        <v>0</v>
      </c>
      <c r="L18" s="602">
        <v>0</v>
      </c>
      <c r="M18" s="600">
        <f t="shared" si="0"/>
        <v>11</v>
      </c>
      <c r="N18" s="274" t="s">
        <v>261</v>
      </c>
    </row>
    <row r="19" spans="1:14" ht="18.75" customHeight="1" thickBot="1">
      <c r="A19" s="276" t="s">
        <v>260</v>
      </c>
      <c r="B19" s="602">
        <v>0</v>
      </c>
      <c r="C19" s="602">
        <v>0</v>
      </c>
      <c r="D19" s="602">
        <v>0</v>
      </c>
      <c r="E19" s="602">
        <v>1</v>
      </c>
      <c r="F19" s="602">
        <v>0</v>
      </c>
      <c r="G19" s="602">
        <v>3</v>
      </c>
      <c r="H19" s="602">
        <v>1</v>
      </c>
      <c r="I19" s="602">
        <v>1</v>
      </c>
      <c r="J19" s="602">
        <v>2</v>
      </c>
      <c r="K19" s="602">
        <v>0</v>
      </c>
      <c r="L19" s="602">
        <v>0</v>
      </c>
      <c r="M19" s="600">
        <f t="shared" si="0"/>
        <v>8</v>
      </c>
      <c r="N19" s="274" t="s">
        <v>260</v>
      </c>
    </row>
    <row r="20" spans="1:14" ht="18.75" customHeight="1" thickBot="1">
      <c r="A20" s="276" t="s">
        <v>259</v>
      </c>
      <c r="B20" s="602">
        <v>0</v>
      </c>
      <c r="C20" s="602">
        <v>0</v>
      </c>
      <c r="D20" s="602">
        <v>0</v>
      </c>
      <c r="E20" s="602">
        <v>2</v>
      </c>
      <c r="F20" s="602">
        <v>0</v>
      </c>
      <c r="G20" s="602">
        <v>2</v>
      </c>
      <c r="H20" s="602">
        <v>1</v>
      </c>
      <c r="I20" s="602">
        <v>0</v>
      </c>
      <c r="J20" s="602">
        <v>0</v>
      </c>
      <c r="K20" s="602">
        <v>1</v>
      </c>
      <c r="L20" s="602">
        <v>0</v>
      </c>
      <c r="M20" s="600">
        <f t="shared" si="0"/>
        <v>6</v>
      </c>
      <c r="N20" s="274" t="s">
        <v>259</v>
      </c>
    </row>
    <row r="21" spans="1:14" ht="18.75" customHeight="1" thickBot="1">
      <c r="A21" s="276" t="s">
        <v>258</v>
      </c>
      <c r="B21" s="602">
        <v>0</v>
      </c>
      <c r="C21" s="602">
        <v>0</v>
      </c>
      <c r="D21" s="602">
        <v>0</v>
      </c>
      <c r="E21" s="602">
        <v>1</v>
      </c>
      <c r="F21" s="602">
        <v>1</v>
      </c>
      <c r="G21" s="602">
        <v>0</v>
      </c>
      <c r="H21" s="602">
        <v>0</v>
      </c>
      <c r="I21" s="602">
        <v>0</v>
      </c>
      <c r="J21" s="602">
        <v>0</v>
      </c>
      <c r="K21" s="602">
        <v>0</v>
      </c>
      <c r="L21" s="602">
        <v>0</v>
      </c>
      <c r="M21" s="600">
        <f t="shared" si="0"/>
        <v>2</v>
      </c>
      <c r="N21" s="274" t="s">
        <v>258</v>
      </c>
    </row>
    <row r="22" spans="1:14" ht="18.75" customHeight="1">
      <c r="A22" s="277" t="s">
        <v>19</v>
      </c>
      <c r="B22" s="604">
        <v>0</v>
      </c>
      <c r="C22" s="604">
        <v>0</v>
      </c>
      <c r="D22" s="604">
        <v>0</v>
      </c>
      <c r="E22" s="604">
        <v>0</v>
      </c>
      <c r="F22" s="604">
        <v>0</v>
      </c>
      <c r="G22" s="604">
        <v>0</v>
      </c>
      <c r="H22" s="604">
        <v>0</v>
      </c>
      <c r="I22" s="604">
        <v>0</v>
      </c>
      <c r="J22" s="604">
        <v>0</v>
      </c>
      <c r="K22" s="604">
        <v>0</v>
      </c>
      <c r="L22" s="604">
        <v>0</v>
      </c>
      <c r="M22" s="774">
        <f t="shared" si="0"/>
        <v>0</v>
      </c>
      <c r="N22" s="278" t="s">
        <v>20</v>
      </c>
    </row>
    <row r="23" spans="1:14" ht="18.75" customHeight="1">
      <c r="A23" s="772" t="s">
        <v>21</v>
      </c>
      <c r="B23" s="740">
        <f>SUBTOTAL(109,Table_Default__XLS_TAB_11_3[AGE_LEVEL_LESS_20])</f>
        <v>523</v>
      </c>
      <c r="C23" s="740">
        <f>SUBTOTAL(109,Table_Default__XLS_TAB_11_3[AGE_LEVEL_20_24])</f>
        <v>1406</v>
      </c>
      <c r="D23" s="740">
        <f>SUBTOTAL(109,Table_Default__XLS_TAB_11_3[AGE_LEVEL_25_29])</f>
        <v>994</v>
      </c>
      <c r="E23" s="740">
        <f>SUBTOTAL(109,Table_Default__XLS_TAB_11_3[AGE_LEVEL_30_34])</f>
        <v>449</v>
      </c>
      <c r="F23" s="740">
        <f>SUBTOTAL(109,Table_Default__XLS_TAB_11_3[AGE_LEVEL_35_39])</f>
        <v>199</v>
      </c>
      <c r="G23" s="740">
        <f>SUBTOTAL(109,Table_Default__XLS_TAB_11_3[AGE_LEVEL_40_44])</f>
        <v>94</v>
      </c>
      <c r="H23" s="740">
        <f>SUBTOTAL(109,Table_Default__XLS_TAB_11_3[AGE_LEVEL_45_49])</f>
        <v>38</v>
      </c>
      <c r="I23" s="740">
        <f>SUBTOTAL(109,Table_Default__XLS_TAB_11_3[AGE_LEVEL_50_54])</f>
        <v>13</v>
      </c>
      <c r="J23" s="740">
        <f>SUBTOTAL(109,Table_Default__XLS_TAB_11_3[AGE_LEVEL_55_59])</f>
        <v>6</v>
      </c>
      <c r="K23" s="740">
        <f>SUBTOTAL(109,Table_Default__XLS_TAB_11_3[AGE_LEVEL_UP_60])</f>
        <v>2</v>
      </c>
      <c r="L23" s="740">
        <f>SUBTOTAL(109,Table_Default__XLS_TAB_11_3[AGE_LEVEL_NOT_STATED])</f>
        <v>0</v>
      </c>
      <c r="M23" s="740">
        <f>SUBTOTAL(109,Table_Default__XLS_TAB_11_3[TOTAL])</f>
        <v>3724</v>
      </c>
      <c r="N23" s="773" t="s">
        <v>176</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8"/>
  <sheetViews>
    <sheetView rightToLeft="1" view="pageBreakPreview" topLeftCell="A88" zoomScaleNormal="100" zoomScaleSheetLayoutView="100" workbookViewId="0">
      <selection activeCell="I10" sqref="I10"/>
    </sheetView>
  </sheetViews>
  <sheetFormatPr defaultColWidth="9.140625" defaultRowHeight="12.75"/>
  <cols>
    <col min="1" max="1" width="40.7109375" style="5" customWidth="1"/>
    <col min="2" max="2" width="8.7109375" style="37" customWidth="1"/>
    <col min="3" max="3" width="8.7109375" style="36" customWidth="1"/>
    <col min="4" max="4" width="42.7109375" style="5" customWidth="1"/>
    <col min="5" max="6" width="9.140625" style="5"/>
    <col min="7" max="7" width="9.140625" style="5" customWidth="1"/>
    <col min="8" max="16384" width="9.140625" style="5"/>
  </cols>
  <sheetData>
    <row r="1" spans="1:4" ht="26.25" customHeight="1">
      <c r="A1" s="909" t="s">
        <v>677</v>
      </c>
      <c r="B1" s="910"/>
      <c r="C1" s="910"/>
      <c r="D1" s="911"/>
    </row>
    <row r="2" spans="1:4" ht="4.5" customHeight="1">
      <c r="B2" s="48"/>
    </row>
    <row r="3" spans="1:4" ht="35.25" customHeight="1">
      <c r="A3" s="894" t="s">
        <v>71</v>
      </c>
      <c r="B3" s="895" t="s">
        <v>70</v>
      </c>
      <c r="C3" s="896" t="s">
        <v>69</v>
      </c>
      <c r="D3" s="894" t="s">
        <v>68</v>
      </c>
    </row>
    <row r="4" spans="1:4" s="39" customFormat="1" ht="21.75" customHeight="1">
      <c r="A4" s="881" t="s">
        <v>66</v>
      </c>
      <c r="B4" s="47"/>
      <c r="C4" s="46"/>
      <c r="D4" s="882" t="s">
        <v>65</v>
      </c>
    </row>
    <row r="5" spans="1:4" s="39" customFormat="1" ht="21.75" customHeight="1">
      <c r="A5" s="881" t="s">
        <v>64</v>
      </c>
      <c r="B5" s="47"/>
      <c r="C5" s="46"/>
      <c r="D5" s="882" t="s">
        <v>63</v>
      </c>
    </row>
    <row r="6" spans="1:4" s="39" customFormat="1" ht="21.75" customHeight="1">
      <c r="A6" s="881" t="s">
        <v>67</v>
      </c>
      <c r="B6" s="47"/>
      <c r="C6" s="46"/>
      <c r="D6" s="882" t="s">
        <v>28</v>
      </c>
    </row>
    <row r="7" spans="1:4" s="39" customFormat="1" ht="21.75" customHeight="1">
      <c r="A7" s="881" t="s">
        <v>62</v>
      </c>
      <c r="B7" s="47"/>
      <c r="C7" s="46"/>
      <c r="D7" s="882" t="s">
        <v>61</v>
      </c>
    </row>
    <row r="8" spans="1:4" s="39" customFormat="1" ht="21.75" customHeight="1">
      <c r="A8" s="881" t="s">
        <v>138</v>
      </c>
      <c r="B8" s="47"/>
      <c r="C8" s="46"/>
      <c r="D8" s="882" t="s">
        <v>1000</v>
      </c>
    </row>
    <row r="9" spans="1:4" s="39" customFormat="1" ht="24.75">
      <c r="A9" s="883" t="s">
        <v>60</v>
      </c>
      <c r="B9" s="685"/>
      <c r="C9" s="684"/>
      <c r="D9" s="884" t="s">
        <v>1004</v>
      </c>
    </row>
    <row r="10" spans="1:4" s="39" customFormat="1" ht="25.5">
      <c r="A10" s="885" t="s">
        <v>1046</v>
      </c>
      <c r="B10" s="41">
        <v>1</v>
      </c>
      <c r="C10" s="40"/>
      <c r="D10" s="886" t="s">
        <v>1048</v>
      </c>
    </row>
    <row r="11" spans="1:4" s="39" customFormat="1" ht="25.5">
      <c r="A11" s="885" t="s">
        <v>1016</v>
      </c>
      <c r="B11" s="41">
        <v>2</v>
      </c>
      <c r="C11" s="40"/>
      <c r="D11" s="887" t="s">
        <v>1017</v>
      </c>
    </row>
    <row r="12" spans="1:4" s="39" customFormat="1" ht="21" customHeight="1">
      <c r="A12" s="888" t="s">
        <v>1142</v>
      </c>
      <c r="B12" s="41" t="s">
        <v>647</v>
      </c>
      <c r="C12" s="40"/>
      <c r="D12" s="887" t="s">
        <v>1049</v>
      </c>
    </row>
    <row r="13" spans="1:4" s="39" customFormat="1" ht="25.5">
      <c r="A13" s="885" t="s">
        <v>1143</v>
      </c>
      <c r="B13" s="41" t="s">
        <v>59</v>
      </c>
      <c r="C13" s="40"/>
      <c r="D13" s="887" t="s">
        <v>1050</v>
      </c>
    </row>
    <row r="14" spans="1:4" s="39" customFormat="1" ht="38.25">
      <c r="A14" s="885" t="s">
        <v>1144</v>
      </c>
      <c r="B14" s="41" t="s">
        <v>648</v>
      </c>
      <c r="C14" s="40"/>
      <c r="D14" s="887" t="s">
        <v>1105</v>
      </c>
    </row>
    <row r="15" spans="1:4" s="39" customFormat="1" ht="25.5">
      <c r="A15" s="885" t="s">
        <v>1145</v>
      </c>
      <c r="B15" s="41" t="s">
        <v>1037</v>
      </c>
      <c r="C15" s="40"/>
      <c r="D15" s="887" t="s">
        <v>1051</v>
      </c>
    </row>
    <row r="16" spans="1:4" s="39" customFormat="1" ht="25.5">
      <c r="A16" s="885" t="s">
        <v>1146</v>
      </c>
      <c r="B16" s="41" t="s">
        <v>1038</v>
      </c>
      <c r="C16" s="40"/>
      <c r="D16" s="887" t="s">
        <v>1052</v>
      </c>
    </row>
    <row r="17" spans="1:4" s="39" customFormat="1" ht="25.5">
      <c r="A17" s="885" t="s">
        <v>1147</v>
      </c>
      <c r="B17" s="41" t="s">
        <v>649</v>
      </c>
      <c r="C17" s="40"/>
      <c r="D17" s="887" t="s">
        <v>1053</v>
      </c>
    </row>
    <row r="18" spans="1:4" s="39" customFormat="1" ht="25.5">
      <c r="A18" s="885" t="s">
        <v>1148</v>
      </c>
      <c r="B18" s="41" t="s">
        <v>650</v>
      </c>
      <c r="C18" s="40"/>
      <c r="D18" s="887" t="s">
        <v>1054</v>
      </c>
    </row>
    <row r="19" spans="1:4" s="39" customFormat="1" ht="25.5">
      <c r="A19" s="885" t="s">
        <v>1149</v>
      </c>
      <c r="B19" s="41" t="s">
        <v>651</v>
      </c>
      <c r="C19" s="40"/>
      <c r="D19" s="887" t="s">
        <v>1055</v>
      </c>
    </row>
    <row r="20" spans="1:4" s="39" customFormat="1" ht="25.5">
      <c r="A20" s="885" t="s">
        <v>1150</v>
      </c>
      <c r="B20" s="41" t="s">
        <v>652</v>
      </c>
      <c r="C20" s="40"/>
      <c r="D20" s="887" t="s">
        <v>1056</v>
      </c>
    </row>
    <row r="21" spans="1:4" s="39" customFormat="1" ht="25.5">
      <c r="A21" s="885" t="s">
        <v>1151</v>
      </c>
      <c r="B21" s="41" t="s">
        <v>653</v>
      </c>
      <c r="C21" s="40"/>
      <c r="D21" s="887" t="s">
        <v>1057</v>
      </c>
    </row>
    <row r="22" spans="1:4" s="39" customFormat="1" ht="25.5">
      <c r="A22" s="885" t="s">
        <v>1152</v>
      </c>
      <c r="B22" s="41" t="s">
        <v>654</v>
      </c>
      <c r="C22" s="40"/>
      <c r="D22" s="887" t="s">
        <v>1106</v>
      </c>
    </row>
    <row r="23" spans="1:4" s="39" customFormat="1" ht="25.5">
      <c r="A23" s="885" t="s">
        <v>1153</v>
      </c>
      <c r="B23" s="41" t="s">
        <v>655</v>
      </c>
      <c r="C23" s="40"/>
      <c r="D23" s="887" t="s">
        <v>1058</v>
      </c>
    </row>
    <row r="24" spans="1:4" s="39" customFormat="1" ht="25.5">
      <c r="A24" s="885" t="s">
        <v>1154</v>
      </c>
      <c r="B24" s="41" t="s">
        <v>58</v>
      </c>
      <c r="C24" s="40"/>
      <c r="D24" s="887" t="s">
        <v>1059</v>
      </c>
    </row>
    <row r="25" spans="1:4" s="39" customFormat="1" ht="25.5">
      <c r="A25" s="885" t="s">
        <v>1155</v>
      </c>
      <c r="B25" s="41" t="s">
        <v>57</v>
      </c>
      <c r="C25" s="40"/>
      <c r="D25" s="887" t="s">
        <v>1060</v>
      </c>
    </row>
    <row r="26" spans="1:4" s="39" customFormat="1" ht="25.5">
      <c r="A26" s="885" t="s">
        <v>1156</v>
      </c>
      <c r="B26" s="41" t="s">
        <v>56</v>
      </c>
      <c r="C26" s="40"/>
      <c r="D26" s="887" t="s">
        <v>1061</v>
      </c>
    </row>
    <row r="27" spans="1:4" s="39" customFormat="1" ht="25.5">
      <c r="A27" s="885" t="s">
        <v>1157</v>
      </c>
      <c r="B27" s="41" t="s">
        <v>55</v>
      </c>
      <c r="C27" s="40"/>
      <c r="D27" s="887" t="s">
        <v>1062</v>
      </c>
    </row>
    <row r="28" spans="1:4" s="39" customFormat="1" ht="25.5">
      <c r="A28" s="885" t="s">
        <v>1158</v>
      </c>
      <c r="B28" s="41" t="s">
        <v>54</v>
      </c>
      <c r="C28" s="40"/>
      <c r="D28" s="887" t="s">
        <v>1063</v>
      </c>
    </row>
    <row r="29" spans="1:4" s="39" customFormat="1" ht="25.5">
      <c r="A29" s="885" t="s">
        <v>1159</v>
      </c>
      <c r="B29" s="41" t="s">
        <v>53</v>
      </c>
      <c r="C29" s="40"/>
      <c r="D29" s="887" t="s">
        <v>1064</v>
      </c>
    </row>
    <row r="30" spans="1:4" s="39" customFormat="1" ht="25.5">
      <c r="A30" s="885" t="s">
        <v>1160</v>
      </c>
      <c r="B30" s="41" t="s">
        <v>656</v>
      </c>
      <c r="C30" s="40"/>
      <c r="D30" s="887" t="s">
        <v>1065</v>
      </c>
    </row>
    <row r="31" spans="1:4" s="39" customFormat="1" ht="25.5">
      <c r="A31" s="897" t="s">
        <v>1161</v>
      </c>
      <c r="B31" s="898" t="s">
        <v>657</v>
      </c>
      <c r="C31" s="899"/>
      <c r="D31" s="900" t="s">
        <v>1066</v>
      </c>
    </row>
    <row r="32" spans="1:4" s="39" customFormat="1" ht="25.5">
      <c r="A32" s="885" t="s">
        <v>1162</v>
      </c>
      <c r="B32" s="41" t="s">
        <v>658</v>
      </c>
      <c r="C32" s="40"/>
      <c r="D32" s="887" t="s">
        <v>1067</v>
      </c>
    </row>
    <row r="33" spans="1:4" s="39" customFormat="1" ht="25.5">
      <c r="A33" s="885" t="s">
        <v>1163</v>
      </c>
      <c r="B33" s="41" t="s">
        <v>659</v>
      </c>
      <c r="C33" s="40"/>
      <c r="D33" s="887" t="s">
        <v>1068</v>
      </c>
    </row>
    <row r="34" spans="1:4" s="39" customFormat="1" ht="25.5">
      <c r="A34" s="885" t="s">
        <v>1164</v>
      </c>
      <c r="B34" s="41" t="s">
        <v>660</v>
      </c>
      <c r="C34" s="40"/>
      <c r="D34" s="887" t="s">
        <v>1107</v>
      </c>
    </row>
    <row r="35" spans="1:4" s="39" customFormat="1" ht="25.5">
      <c r="A35" s="885" t="s">
        <v>1165</v>
      </c>
      <c r="B35" s="41" t="s">
        <v>661</v>
      </c>
      <c r="C35" s="40"/>
      <c r="D35" s="887" t="s">
        <v>1069</v>
      </c>
    </row>
    <row r="36" spans="1:4" s="39" customFormat="1" ht="25.5">
      <c r="A36" s="885" t="s">
        <v>1166</v>
      </c>
      <c r="B36" s="41" t="s">
        <v>662</v>
      </c>
      <c r="C36" s="40"/>
      <c r="D36" s="887" t="s">
        <v>1070</v>
      </c>
    </row>
    <row r="37" spans="1:4" s="39" customFormat="1" ht="25.5">
      <c r="A37" s="885" t="s">
        <v>1167</v>
      </c>
      <c r="B37" s="41" t="s">
        <v>663</v>
      </c>
      <c r="C37" s="40"/>
      <c r="D37" s="887" t="s">
        <v>1071</v>
      </c>
    </row>
    <row r="38" spans="1:4" s="39" customFormat="1" ht="25.5">
      <c r="A38" s="885" t="s">
        <v>1168</v>
      </c>
      <c r="B38" s="41" t="s">
        <v>664</v>
      </c>
      <c r="C38" s="40"/>
      <c r="D38" s="887" t="s">
        <v>1072</v>
      </c>
    </row>
    <row r="39" spans="1:4" s="39" customFormat="1" ht="25.5">
      <c r="A39" s="885" t="s">
        <v>1169</v>
      </c>
      <c r="B39" s="41" t="s">
        <v>52</v>
      </c>
      <c r="C39" s="40"/>
      <c r="D39" s="887" t="s">
        <v>1073</v>
      </c>
    </row>
    <row r="40" spans="1:4" s="39" customFormat="1" ht="25.5">
      <c r="A40" s="885" t="s">
        <v>1170</v>
      </c>
      <c r="B40" s="41" t="s">
        <v>51</v>
      </c>
      <c r="C40" s="40"/>
      <c r="D40" s="887" t="s">
        <v>1108</v>
      </c>
    </row>
    <row r="41" spans="1:4" s="39" customFormat="1" ht="25.5">
      <c r="A41" s="885" t="s">
        <v>1171</v>
      </c>
      <c r="B41" s="41" t="s">
        <v>50</v>
      </c>
      <c r="C41" s="40"/>
      <c r="D41" s="887" t="s">
        <v>1074</v>
      </c>
    </row>
    <row r="42" spans="1:4" s="39" customFormat="1" ht="38.25">
      <c r="A42" s="885" t="s">
        <v>1172</v>
      </c>
      <c r="B42" s="41" t="s">
        <v>665</v>
      </c>
      <c r="C42" s="40"/>
      <c r="D42" s="887" t="s">
        <v>1075</v>
      </c>
    </row>
    <row r="43" spans="1:4" s="39" customFormat="1" ht="38.25">
      <c r="A43" s="885" t="s">
        <v>1173</v>
      </c>
      <c r="B43" s="41" t="s">
        <v>666</v>
      </c>
      <c r="C43" s="40"/>
      <c r="D43" s="887" t="s">
        <v>1076</v>
      </c>
    </row>
    <row r="44" spans="1:4" s="39" customFormat="1" ht="38.25">
      <c r="A44" s="885" t="s">
        <v>1174</v>
      </c>
      <c r="B44" s="41" t="s">
        <v>667</v>
      </c>
      <c r="C44" s="40"/>
      <c r="D44" s="887" t="s">
        <v>1077</v>
      </c>
    </row>
    <row r="45" spans="1:4" s="39" customFormat="1" ht="25.5">
      <c r="A45" s="885" t="s">
        <v>1175</v>
      </c>
      <c r="B45" s="41" t="s">
        <v>47</v>
      </c>
      <c r="C45" s="40"/>
      <c r="D45" s="887" t="s">
        <v>1078</v>
      </c>
    </row>
    <row r="46" spans="1:4" s="39" customFormat="1" ht="25.5">
      <c r="A46" s="885" t="s">
        <v>1176</v>
      </c>
      <c r="B46" s="41" t="s">
        <v>46</v>
      </c>
      <c r="C46" s="40"/>
      <c r="D46" s="887" t="s">
        <v>1079</v>
      </c>
    </row>
    <row r="47" spans="1:4" s="39" customFormat="1" ht="24.75">
      <c r="A47" s="889" t="s">
        <v>48</v>
      </c>
      <c r="B47" s="45"/>
      <c r="C47" s="44"/>
      <c r="D47" s="884" t="s">
        <v>1006</v>
      </c>
    </row>
    <row r="48" spans="1:4" s="39" customFormat="1" ht="38.25">
      <c r="A48" s="885" t="s">
        <v>1177</v>
      </c>
      <c r="B48" s="41" t="s">
        <v>45</v>
      </c>
      <c r="C48" s="40"/>
      <c r="D48" s="887" t="s">
        <v>1080</v>
      </c>
    </row>
    <row r="49" spans="1:4" s="39" customFormat="1" ht="25.5">
      <c r="A49" s="885" t="s">
        <v>1178</v>
      </c>
      <c r="B49" s="41" t="s">
        <v>1039</v>
      </c>
      <c r="C49" s="40"/>
      <c r="D49" s="887" t="s">
        <v>1081</v>
      </c>
    </row>
    <row r="50" spans="1:4" s="39" customFormat="1" ht="25.5">
      <c r="A50" s="885" t="s">
        <v>1179</v>
      </c>
      <c r="B50" s="41" t="s">
        <v>1040</v>
      </c>
      <c r="C50" s="40"/>
      <c r="D50" s="887" t="s">
        <v>1082</v>
      </c>
    </row>
    <row r="51" spans="1:4" s="39" customFormat="1" ht="25.5">
      <c r="A51" s="885" t="s">
        <v>1180</v>
      </c>
      <c r="B51" s="41" t="s">
        <v>668</v>
      </c>
      <c r="C51" s="40"/>
      <c r="D51" s="887" t="s">
        <v>1083</v>
      </c>
    </row>
    <row r="52" spans="1:4" s="39" customFormat="1" ht="25.5">
      <c r="A52" s="885" t="s">
        <v>1181</v>
      </c>
      <c r="B52" s="41" t="s">
        <v>669</v>
      </c>
      <c r="C52" s="40"/>
      <c r="D52" s="887" t="s">
        <v>1084</v>
      </c>
    </row>
    <row r="53" spans="1:4" s="39" customFormat="1" ht="25.5">
      <c r="A53" s="885" t="s">
        <v>1182</v>
      </c>
      <c r="B53" s="41" t="s">
        <v>44</v>
      </c>
      <c r="C53" s="40"/>
      <c r="D53" s="887" t="s">
        <v>1085</v>
      </c>
    </row>
    <row r="54" spans="1:4" s="39" customFormat="1" ht="25.5">
      <c r="A54" s="885" t="s">
        <v>1183</v>
      </c>
      <c r="B54" s="41" t="s">
        <v>43</v>
      </c>
      <c r="C54" s="40"/>
      <c r="D54" s="887" t="s">
        <v>1086</v>
      </c>
    </row>
    <row r="55" spans="1:4" s="39" customFormat="1" ht="25.5">
      <c r="A55" s="885" t="s">
        <v>1184</v>
      </c>
      <c r="B55" s="41" t="s">
        <v>42</v>
      </c>
      <c r="C55" s="40"/>
      <c r="D55" s="887" t="s">
        <v>1087</v>
      </c>
    </row>
    <row r="56" spans="1:4" s="39" customFormat="1" ht="25.5">
      <c r="A56" s="885" t="s">
        <v>1185</v>
      </c>
      <c r="B56" s="41" t="s">
        <v>41</v>
      </c>
      <c r="C56" s="40"/>
      <c r="D56" s="887" t="s">
        <v>1088</v>
      </c>
    </row>
    <row r="57" spans="1:4" s="39" customFormat="1" ht="25.5">
      <c r="A57" s="897" t="s">
        <v>1186</v>
      </c>
      <c r="B57" s="898" t="s">
        <v>40</v>
      </c>
      <c r="C57" s="899"/>
      <c r="D57" s="900" t="s">
        <v>1089</v>
      </c>
    </row>
    <row r="58" spans="1:4" s="39" customFormat="1" ht="25.5">
      <c r="A58" s="885" t="s">
        <v>1187</v>
      </c>
      <c r="B58" s="41" t="s">
        <v>39</v>
      </c>
      <c r="C58" s="40"/>
      <c r="D58" s="887" t="s">
        <v>1090</v>
      </c>
    </row>
    <row r="59" spans="1:4" s="39" customFormat="1" ht="25.5">
      <c r="A59" s="885" t="s">
        <v>1188</v>
      </c>
      <c r="B59" s="41" t="s">
        <v>834</v>
      </c>
      <c r="C59" s="40"/>
      <c r="D59" s="887" t="s">
        <v>1091</v>
      </c>
    </row>
    <row r="60" spans="1:4" s="39" customFormat="1" ht="25.5">
      <c r="A60" s="885" t="s">
        <v>1189</v>
      </c>
      <c r="B60" s="41" t="s">
        <v>892</v>
      </c>
      <c r="C60" s="40"/>
      <c r="D60" s="887" t="s">
        <v>1092</v>
      </c>
    </row>
    <row r="61" spans="1:4" s="39" customFormat="1" ht="25.5">
      <c r="A61" s="885" t="s">
        <v>1190</v>
      </c>
      <c r="B61" s="41" t="s">
        <v>893</v>
      </c>
      <c r="C61" s="40"/>
      <c r="D61" s="887" t="s">
        <v>1093</v>
      </c>
    </row>
    <row r="62" spans="1:4" s="39" customFormat="1" ht="25.5">
      <c r="A62" s="885" t="s">
        <v>1191</v>
      </c>
      <c r="B62" s="41" t="s">
        <v>894</v>
      </c>
      <c r="C62" s="40"/>
      <c r="D62" s="887" t="s">
        <v>1094</v>
      </c>
    </row>
    <row r="63" spans="1:4" s="39" customFormat="1" ht="38.25">
      <c r="A63" s="885" t="s">
        <v>1192</v>
      </c>
      <c r="B63" s="41" t="s">
        <v>895</v>
      </c>
      <c r="C63" s="40"/>
      <c r="D63" s="887" t="s">
        <v>1095</v>
      </c>
    </row>
    <row r="64" spans="1:4" s="39" customFormat="1" ht="25.5">
      <c r="A64" s="885" t="s">
        <v>1193</v>
      </c>
      <c r="B64" s="41" t="s">
        <v>896</v>
      </c>
      <c r="C64" s="40"/>
      <c r="D64" s="887" t="s">
        <v>1096</v>
      </c>
    </row>
    <row r="65" spans="1:4" s="39" customFormat="1" ht="25.5">
      <c r="A65" s="885" t="s">
        <v>1194</v>
      </c>
      <c r="B65" s="41" t="s">
        <v>897</v>
      </c>
      <c r="C65" s="40"/>
      <c r="D65" s="887" t="s">
        <v>1097</v>
      </c>
    </row>
    <row r="66" spans="1:4" s="39" customFormat="1" ht="25.5">
      <c r="A66" s="885" t="s">
        <v>1195</v>
      </c>
      <c r="B66" s="41" t="s">
        <v>898</v>
      </c>
      <c r="C66" s="40"/>
      <c r="D66" s="887" t="s">
        <v>1098</v>
      </c>
    </row>
    <row r="67" spans="1:4" s="39" customFormat="1" ht="25.5">
      <c r="A67" s="885" t="s">
        <v>1196</v>
      </c>
      <c r="B67" s="41" t="s">
        <v>856</v>
      </c>
      <c r="C67" s="40"/>
      <c r="D67" s="887" t="s">
        <v>1099</v>
      </c>
    </row>
    <row r="68" spans="1:4" s="39" customFormat="1" ht="25.5">
      <c r="A68" s="885" t="s">
        <v>1197</v>
      </c>
      <c r="B68" s="41" t="s">
        <v>857</v>
      </c>
      <c r="C68" s="40"/>
      <c r="D68" s="887" t="s">
        <v>1100</v>
      </c>
    </row>
    <row r="69" spans="1:4" s="39" customFormat="1" ht="25.5">
      <c r="A69" s="885" t="s">
        <v>1198</v>
      </c>
      <c r="B69" s="41" t="s">
        <v>858</v>
      </c>
      <c r="C69" s="40"/>
      <c r="D69" s="887" t="s">
        <v>1109</v>
      </c>
    </row>
    <row r="70" spans="1:4" s="39" customFormat="1" ht="25.5">
      <c r="A70" s="885" t="s">
        <v>1199</v>
      </c>
      <c r="B70" s="41" t="s">
        <v>835</v>
      </c>
      <c r="C70" s="40"/>
      <c r="D70" s="887" t="s">
        <v>1110</v>
      </c>
    </row>
    <row r="71" spans="1:4" s="39" customFormat="1" ht="25.5">
      <c r="A71" s="885" t="s">
        <v>1200</v>
      </c>
      <c r="B71" s="41" t="s">
        <v>836</v>
      </c>
      <c r="C71" s="40"/>
      <c r="D71" s="887" t="s">
        <v>1111</v>
      </c>
    </row>
    <row r="72" spans="1:4" s="39" customFormat="1" ht="25.5">
      <c r="A72" s="885" t="s">
        <v>1201</v>
      </c>
      <c r="B72" s="41" t="s">
        <v>837</v>
      </c>
      <c r="C72" s="40"/>
      <c r="D72" s="887" t="s">
        <v>1112</v>
      </c>
    </row>
    <row r="73" spans="1:4" s="39" customFormat="1" ht="25.5">
      <c r="A73" s="885" t="s">
        <v>1202</v>
      </c>
      <c r="B73" s="41" t="s">
        <v>838</v>
      </c>
      <c r="C73" s="40"/>
      <c r="D73" s="887" t="s">
        <v>1113</v>
      </c>
    </row>
    <row r="74" spans="1:4" s="39" customFormat="1" ht="25.5">
      <c r="A74" s="885" t="s">
        <v>1203</v>
      </c>
      <c r="B74" s="41" t="s">
        <v>839</v>
      </c>
      <c r="C74" s="40"/>
      <c r="D74" s="887" t="s">
        <v>1114</v>
      </c>
    </row>
    <row r="75" spans="1:4" s="39" customFormat="1" ht="25.5">
      <c r="A75" s="885" t="s">
        <v>1204</v>
      </c>
      <c r="B75" s="41" t="s">
        <v>840</v>
      </c>
      <c r="C75" s="40"/>
      <c r="D75" s="887" t="s">
        <v>1115</v>
      </c>
    </row>
    <row r="76" spans="1:4" s="39" customFormat="1" ht="25.5">
      <c r="A76" s="885" t="s">
        <v>1205</v>
      </c>
      <c r="B76" s="41" t="s">
        <v>899</v>
      </c>
      <c r="C76" s="40"/>
      <c r="D76" s="887" t="s">
        <v>1116</v>
      </c>
    </row>
    <row r="77" spans="1:4" s="39" customFormat="1" ht="25.5">
      <c r="A77" s="885" t="s">
        <v>1206</v>
      </c>
      <c r="B77" s="41" t="s">
        <v>670</v>
      </c>
      <c r="C77" s="40"/>
      <c r="D77" s="887" t="s">
        <v>1117</v>
      </c>
    </row>
    <row r="78" spans="1:4" s="39" customFormat="1" ht="17.25" customHeight="1">
      <c r="A78" s="885" t="s">
        <v>1207</v>
      </c>
      <c r="B78" s="41" t="s">
        <v>841</v>
      </c>
      <c r="C78" s="40"/>
      <c r="D78" s="887" t="s">
        <v>1014</v>
      </c>
    </row>
    <row r="79" spans="1:4" s="39" customFormat="1" ht="25.5">
      <c r="A79" s="885" t="s">
        <v>1208</v>
      </c>
      <c r="B79" s="41" t="s">
        <v>842</v>
      </c>
      <c r="C79" s="40"/>
      <c r="D79" s="887" t="s">
        <v>1118</v>
      </c>
    </row>
    <row r="80" spans="1:4" s="39" customFormat="1" ht="25.5">
      <c r="A80" s="885" t="s">
        <v>1209</v>
      </c>
      <c r="B80" s="41" t="s">
        <v>900</v>
      </c>
      <c r="C80" s="40"/>
      <c r="D80" s="887" t="s">
        <v>1119</v>
      </c>
    </row>
    <row r="81" spans="1:4" s="39" customFormat="1" ht="25.5">
      <c r="A81" s="885" t="s">
        <v>1210</v>
      </c>
      <c r="B81" s="41" t="s">
        <v>901</v>
      </c>
      <c r="C81" s="40"/>
      <c r="D81" s="887" t="s">
        <v>1120</v>
      </c>
    </row>
    <row r="82" spans="1:4" s="39" customFormat="1" ht="25.5">
      <c r="A82" s="885" t="s">
        <v>1211</v>
      </c>
      <c r="B82" s="41" t="s">
        <v>902</v>
      </c>
      <c r="C82" s="40"/>
      <c r="D82" s="887" t="s">
        <v>1121</v>
      </c>
    </row>
    <row r="83" spans="1:4" s="39" customFormat="1" ht="25.5">
      <c r="A83" s="885" t="s">
        <v>1212</v>
      </c>
      <c r="B83" s="41" t="s">
        <v>38</v>
      </c>
      <c r="C83" s="40"/>
      <c r="D83" s="887" t="s">
        <v>1122</v>
      </c>
    </row>
    <row r="84" spans="1:4" s="39" customFormat="1" ht="25.5">
      <c r="A84" s="897" t="s">
        <v>1213</v>
      </c>
      <c r="B84" s="898" t="s">
        <v>37</v>
      </c>
      <c r="C84" s="899"/>
      <c r="D84" s="900" t="s">
        <v>1123</v>
      </c>
    </row>
    <row r="85" spans="1:4" s="39" customFormat="1" ht="25.5">
      <c r="A85" s="885" t="s">
        <v>1214</v>
      </c>
      <c r="B85" s="41" t="s">
        <v>36</v>
      </c>
      <c r="C85" s="40"/>
      <c r="D85" s="887" t="s">
        <v>1124</v>
      </c>
    </row>
    <row r="86" spans="1:4" s="39" customFormat="1" ht="25.5">
      <c r="A86" s="885" t="s">
        <v>1215</v>
      </c>
      <c r="B86" s="41" t="s">
        <v>671</v>
      </c>
      <c r="C86" s="40"/>
      <c r="D86" s="887" t="s">
        <v>1125</v>
      </c>
    </row>
    <row r="87" spans="1:4" s="39" customFormat="1" ht="25.5">
      <c r="A87" s="885" t="s">
        <v>1216</v>
      </c>
      <c r="B87" s="41" t="s">
        <v>672</v>
      </c>
      <c r="C87" s="40"/>
      <c r="D87" s="887" t="s">
        <v>1126</v>
      </c>
    </row>
    <row r="88" spans="1:4" s="39" customFormat="1" ht="25.5">
      <c r="A88" s="885" t="s">
        <v>1217</v>
      </c>
      <c r="B88" s="41" t="s">
        <v>673</v>
      </c>
      <c r="C88" s="40"/>
      <c r="D88" s="887" t="s">
        <v>1127</v>
      </c>
    </row>
    <row r="89" spans="1:4" s="39" customFormat="1" ht="38.25">
      <c r="A89" s="885" t="s">
        <v>1218</v>
      </c>
      <c r="B89" s="41" t="s">
        <v>674</v>
      </c>
      <c r="C89" s="40"/>
      <c r="D89" s="887" t="s">
        <v>1128</v>
      </c>
    </row>
    <row r="90" spans="1:4" s="39" customFormat="1" ht="38.25">
      <c r="A90" s="885" t="s">
        <v>1219</v>
      </c>
      <c r="B90" s="41" t="s">
        <v>675</v>
      </c>
      <c r="C90" s="40"/>
      <c r="D90" s="887" t="s">
        <v>1129</v>
      </c>
    </row>
    <row r="91" spans="1:4" s="39" customFormat="1" ht="38.25">
      <c r="A91" s="885" t="s">
        <v>1015</v>
      </c>
      <c r="B91" s="41" t="s">
        <v>676</v>
      </c>
      <c r="C91" s="40"/>
      <c r="D91" s="887" t="s">
        <v>1130</v>
      </c>
    </row>
    <row r="92" spans="1:4" s="39" customFormat="1" ht="25.5">
      <c r="A92" s="885" t="s">
        <v>1220</v>
      </c>
      <c r="B92" s="41" t="s">
        <v>843</v>
      </c>
      <c r="C92" s="40"/>
      <c r="D92" s="887" t="s">
        <v>1131</v>
      </c>
    </row>
    <row r="93" spans="1:4" s="39" customFormat="1" ht="25.5">
      <c r="A93" s="885" t="s">
        <v>1221</v>
      </c>
      <c r="B93" s="41" t="s">
        <v>844</v>
      </c>
      <c r="C93" s="40"/>
      <c r="D93" s="887" t="s">
        <v>1132</v>
      </c>
    </row>
    <row r="94" spans="1:4" s="39" customFormat="1" ht="25.5">
      <c r="A94" s="885" t="s">
        <v>1222</v>
      </c>
      <c r="B94" s="41" t="s">
        <v>845</v>
      </c>
      <c r="C94" s="40"/>
      <c r="D94" s="887" t="s">
        <v>1133</v>
      </c>
    </row>
    <row r="95" spans="1:4" s="39" customFormat="1" ht="25.5">
      <c r="A95" s="885" t="s">
        <v>1223</v>
      </c>
      <c r="B95" s="41" t="s">
        <v>846</v>
      </c>
      <c r="C95" s="40"/>
      <c r="D95" s="887" t="s">
        <v>1134</v>
      </c>
    </row>
    <row r="96" spans="1:4" s="39" customFormat="1" ht="25.5">
      <c r="A96" s="885" t="s">
        <v>1224</v>
      </c>
      <c r="B96" s="41" t="s">
        <v>903</v>
      </c>
      <c r="C96" s="40"/>
      <c r="D96" s="887" t="s">
        <v>1135</v>
      </c>
    </row>
    <row r="97" spans="1:7" s="39" customFormat="1" ht="25.5">
      <c r="A97" s="885" t="s">
        <v>1225</v>
      </c>
      <c r="B97" s="41" t="s">
        <v>904</v>
      </c>
      <c r="C97" s="40"/>
      <c r="D97" s="887" t="s">
        <v>1136</v>
      </c>
    </row>
    <row r="98" spans="1:7" s="39" customFormat="1" ht="25.5">
      <c r="A98" s="885" t="s">
        <v>1226</v>
      </c>
      <c r="B98" s="41" t="s">
        <v>905</v>
      </c>
      <c r="C98" s="40"/>
      <c r="D98" s="887" t="s">
        <v>1137</v>
      </c>
    </row>
    <row r="99" spans="1:7" s="39" customFormat="1" ht="38.25">
      <c r="A99" s="885" t="s">
        <v>1227</v>
      </c>
      <c r="B99" s="41" t="s">
        <v>847</v>
      </c>
      <c r="C99" s="40"/>
      <c r="D99" s="887" t="s">
        <v>1138</v>
      </c>
    </row>
    <row r="100" spans="1:7" s="39" customFormat="1" ht="25.5">
      <c r="A100" s="885" t="s">
        <v>1228</v>
      </c>
      <c r="B100" s="41" t="s">
        <v>848</v>
      </c>
      <c r="C100" s="40"/>
      <c r="D100" s="887" t="s">
        <v>1141</v>
      </c>
      <c r="G100" s="686"/>
    </row>
    <row r="101" spans="1:7" s="39" customFormat="1" ht="25.5">
      <c r="A101" s="885" t="s">
        <v>1139</v>
      </c>
      <c r="B101" s="41" t="s">
        <v>849</v>
      </c>
      <c r="C101" s="40"/>
      <c r="D101" s="887" t="s">
        <v>1140</v>
      </c>
      <c r="G101" s="686"/>
    </row>
    <row r="102" spans="1:7" s="39" customFormat="1" ht="24.75">
      <c r="A102" s="889" t="s">
        <v>33</v>
      </c>
      <c r="B102" s="43"/>
      <c r="C102" s="42"/>
      <c r="D102" s="884" t="s">
        <v>32</v>
      </c>
    </row>
    <row r="103" spans="1:7" s="39" customFormat="1" ht="24.95" customHeight="1">
      <c r="A103" s="885" t="s">
        <v>31</v>
      </c>
      <c r="B103" s="41" t="s">
        <v>30</v>
      </c>
      <c r="C103" s="40"/>
      <c r="D103" s="887" t="s">
        <v>1001</v>
      </c>
    </row>
    <row r="104" spans="1:7" s="39" customFormat="1" ht="24.95" customHeight="1">
      <c r="A104" s="885" t="s">
        <v>991</v>
      </c>
      <c r="B104" s="41" t="s">
        <v>30</v>
      </c>
      <c r="C104" s="40"/>
      <c r="D104" s="887" t="s">
        <v>1002</v>
      </c>
    </row>
    <row r="105" spans="1:7" s="39" customFormat="1" ht="15.75">
      <c r="A105" s="890"/>
      <c r="B105" s="891"/>
      <c r="C105" s="892"/>
      <c r="D105" s="893"/>
    </row>
    <row r="107" spans="1:7">
      <c r="B107" s="38"/>
      <c r="C107" s="5"/>
    </row>
    <row r="108" spans="1:7" ht="31.5" customHeight="1">
      <c r="B108" s="38"/>
      <c r="C108" s="5"/>
    </row>
    <row r="109" spans="1:7">
      <c r="B109" s="38"/>
      <c r="C109" s="5"/>
    </row>
    <row r="110" spans="1:7">
      <c r="B110" s="38"/>
      <c r="C110" s="5"/>
    </row>
    <row r="111" spans="1:7" ht="30" customHeight="1">
      <c r="B111" s="38"/>
      <c r="C111" s="5"/>
    </row>
    <row r="112" spans="1:7" ht="30" customHeight="1">
      <c r="B112" s="38"/>
      <c r="C112" s="5"/>
    </row>
    <row r="113" spans="2:3" ht="30" customHeight="1">
      <c r="B113" s="38"/>
      <c r="C113" s="5"/>
    </row>
    <row r="114" spans="2:3" ht="30" customHeight="1">
      <c r="B114" s="38"/>
      <c r="C114" s="5"/>
    </row>
    <row r="115" spans="2:3" ht="30" customHeight="1">
      <c r="B115" s="38"/>
      <c r="C115" s="5"/>
    </row>
    <row r="116" spans="2:3" ht="30" customHeight="1">
      <c r="B116" s="38"/>
      <c r="C116" s="5"/>
    </row>
    <row r="117" spans="2:3" ht="30" customHeight="1">
      <c r="B117" s="38"/>
      <c r="C117" s="5"/>
    </row>
    <row r="118" spans="2:3" ht="30" customHeight="1">
      <c r="B118" s="38"/>
      <c r="C118" s="5"/>
    </row>
    <row r="119" spans="2:3" ht="30" customHeight="1">
      <c r="B119" s="38"/>
      <c r="C119" s="5"/>
    </row>
    <row r="120" spans="2:3" ht="30" customHeight="1">
      <c r="B120" s="38"/>
      <c r="C120" s="5"/>
    </row>
    <row r="121" spans="2:3" ht="12.75" customHeight="1">
      <c r="B121" s="38"/>
      <c r="C121" s="5"/>
    </row>
    <row r="122" spans="2:3" ht="90.75" customHeight="1">
      <c r="B122" s="38"/>
      <c r="C122" s="5"/>
    </row>
    <row r="123" spans="2:3">
      <c r="B123" s="38"/>
      <c r="C123" s="5"/>
    </row>
    <row r="124" spans="2:3">
      <c r="B124" s="38"/>
      <c r="C124" s="5"/>
    </row>
    <row r="125" spans="2:3">
      <c r="B125" s="38"/>
      <c r="C125" s="5"/>
    </row>
    <row r="126" spans="2:3">
      <c r="B126" s="38"/>
      <c r="C126" s="5"/>
    </row>
    <row r="127" spans="2:3">
      <c r="B127" s="38"/>
      <c r="C127" s="5"/>
    </row>
    <row r="128" spans="2:3">
      <c r="B128" s="38"/>
      <c r="C128" s="5"/>
    </row>
    <row r="129" spans="2:3">
      <c r="B129" s="38"/>
      <c r="C129" s="5"/>
    </row>
    <row r="130" spans="2:3">
      <c r="B130" s="38"/>
      <c r="C130" s="5"/>
    </row>
    <row r="131" spans="2:3">
      <c r="B131" s="38"/>
      <c r="C131" s="5"/>
    </row>
    <row r="132" spans="2:3">
      <c r="B132" s="38"/>
      <c r="C132" s="5"/>
    </row>
    <row r="133" spans="2:3">
      <c r="B133" s="38"/>
      <c r="C133" s="5"/>
    </row>
    <row r="134" spans="2:3">
      <c r="B134" s="38"/>
      <c r="C134" s="5"/>
    </row>
    <row r="135" spans="2:3">
      <c r="B135" s="38"/>
      <c r="C135" s="5"/>
    </row>
    <row r="136" spans="2:3">
      <c r="B136" s="38"/>
      <c r="C136" s="5"/>
    </row>
    <row r="137" spans="2:3">
      <c r="B137" s="38"/>
      <c r="C137" s="5"/>
    </row>
    <row r="138" spans="2:3">
      <c r="B138" s="38"/>
      <c r="C138" s="5"/>
    </row>
    <row r="139" spans="2:3">
      <c r="B139" s="38"/>
      <c r="C139" s="5"/>
    </row>
    <row r="140" spans="2:3">
      <c r="B140" s="38"/>
      <c r="C140" s="5"/>
    </row>
    <row r="141" spans="2:3">
      <c r="B141" s="38"/>
      <c r="C141" s="5"/>
    </row>
    <row r="142" spans="2:3">
      <c r="B142" s="38"/>
      <c r="C142" s="5"/>
    </row>
    <row r="143" spans="2:3">
      <c r="B143" s="38"/>
      <c r="C143" s="5"/>
    </row>
    <row r="144" spans="2:3">
      <c r="B144" s="38"/>
      <c r="C144" s="5"/>
    </row>
    <row r="145" spans="2:3">
      <c r="B145" s="38"/>
      <c r="C145" s="5"/>
    </row>
    <row r="146" spans="2:3">
      <c r="B146" s="38"/>
      <c r="C146" s="5"/>
    </row>
    <row r="147" spans="2:3">
      <c r="B147" s="38"/>
      <c r="C147" s="5"/>
    </row>
    <row r="148" spans="2:3">
      <c r="B148" s="38"/>
      <c r="C148" s="5"/>
    </row>
    <row r="149" spans="2:3">
      <c r="B149" s="38"/>
      <c r="C149" s="5"/>
    </row>
    <row r="150" spans="2:3">
      <c r="B150" s="38"/>
      <c r="C150" s="5"/>
    </row>
    <row r="151" spans="2:3">
      <c r="B151" s="38"/>
      <c r="C151" s="5"/>
    </row>
    <row r="152" spans="2:3">
      <c r="B152" s="38"/>
      <c r="C152" s="5"/>
    </row>
    <row r="153" spans="2:3">
      <c r="B153" s="38"/>
      <c r="C153" s="5"/>
    </row>
    <row r="154" spans="2:3">
      <c r="B154" s="38"/>
      <c r="C154" s="5"/>
    </row>
    <row r="155" spans="2:3">
      <c r="B155" s="38"/>
      <c r="C155" s="5"/>
    </row>
    <row r="156" spans="2:3">
      <c r="B156" s="38"/>
      <c r="C156" s="5"/>
    </row>
    <row r="157" spans="2:3">
      <c r="B157" s="38"/>
      <c r="C157" s="5"/>
    </row>
    <row r="158" spans="2:3">
      <c r="B158" s="38"/>
      <c r="C158" s="5"/>
    </row>
    <row r="159" spans="2:3">
      <c r="B159" s="38"/>
      <c r="C159" s="5"/>
    </row>
    <row r="160" spans="2:3">
      <c r="B160" s="38"/>
      <c r="C160" s="5"/>
    </row>
    <row r="161" spans="2:3">
      <c r="B161" s="38"/>
      <c r="C161" s="5"/>
    </row>
    <row r="162" spans="2:3">
      <c r="B162" s="38"/>
      <c r="C162" s="5"/>
    </row>
    <row r="163" spans="2:3">
      <c r="B163" s="38"/>
      <c r="C163" s="5"/>
    </row>
    <row r="164" spans="2:3">
      <c r="B164" s="38"/>
      <c r="C164" s="5"/>
    </row>
    <row r="165" spans="2:3">
      <c r="B165" s="38"/>
      <c r="C165" s="5"/>
    </row>
    <row r="166" spans="2:3">
      <c r="B166" s="38"/>
      <c r="C166" s="5"/>
    </row>
    <row r="167" spans="2:3">
      <c r="B167" s="38"/>
      <c r="C167" s="5"/>
    </row>
    <row r="168" spans="2:3">
      <c r="B168" s="38"/>
      <c r="C168" s="5"/>
    </row>
    <row r="169" spans="2:3">
      <c r="B169" s="38"/>
      <c r="C169" s="5"/>
    </row>
    <row r="170" spans="2:3">
      <c r="B170" s="38"/>
      <c r="C170" s="5"/>
    </row>
    <row r="171" spans="2:3">
      <c r="B171" s="38"/>
      <c r="C171" s="5"/>
    </row>
    <row r="172" spans="2:3">
      <c r="B172" s="38"/>
      <c r="C172" s="5"/>
    </row>
    <row r="173" spans="2:3">
      <c r="B173" s="38"/>
      <c r="C173" s="5"/>
    </row>
    <row r="174" spans="2:3">
      <c r="B174" s="38"/>
      <c r="C174" s="5"/>
    </row>
    <row r="175" spans="2:3">
      <c r="B175" s="38"/>
      <c r="C175" s="5"/>
    </row>
    <row r="176" spans="2:3">
      <c r="B176" s="38"/>
      <c r="C176" s="5"/>
    </row>
    <row r="177" spans="2:3">
      <c r="B177" s="38"/>
      <c r="C177" s="5"/>
    </row>
    <row r="178" spans="2:3">
      <c r="B178" s="38"/>
      <c r="C178" s="5"/>
    </row>
  </sheetData>
  <mergeCells count="1">
    <mergeCell ref="A1:D1"/>
  </mergeCells>
  <hyperlinks>
    <hyperlink ref="A12:D12" location="'3'!A1" display="متوسط العمر عند أول زواج (2001 - 2010)"/>
    <hyperlink ref="A13:D13" location="'4'!A1" display="'4'!A1"/>
    <hyperlink ref="A14:D14" location="'5'!A1" display="عقود الزواج حسب جنسية الزوج والزوجة ومكان إقامة الزوج (2009) "/>
    <hyperlink ref="A16:D16" location="'6'!A1" display="عقود الزواج حسب جنسية الزوج والزوجة والشهر (2009)"/>
    <hyperlink ref="A17:D17" location="'7'!A1" display="عقود الزواج حسب جنسية الزوجة والزوج (2009)"/>
    <hyperlink ref="A18:D18" location="'8'!A1" display="عقود الزواج حسب فئة عمر الزوج وجنسيته (2009)"/>
    <hyperlink ref="A19:D19" location="'9'!A1" display="عقود الزواج حسب فئة عمر الزوجة وجنسيتها (2009)"/>
    <hyperlink ref="A20:D20" location="'10'!A1" display="عقود الزواج حسب فئة عمر الزوجة وجنسيتها (2010)"/>
    <hyperlink ref="A21:D21" location="'11-1'!A1" display="عقود الزواج حسب فئة عمر الزوجة والزوج (قطريون) (2010)"/>
    <hyperlink ref="A22:D22" location="'11-2'!A1" display="عقود الزواج حسب فئة عمر الزوجة والزوج (غير قطريين) (2010)"/>
    <hyperlink ref="A23:D23" location="'11-3'!A1" display="عقود الزواج حسب فئة عمر الزوجة والزوج (المجموع) (2010)"/>
    <hyperlink ref="A24:D24" location="'12-1'!A1" display="عقود الزواج حسب عدد الزوجات بالعصمة وفئة عمر الزوج (قطريون) (2010)"/>
    <hyperlink ref="A25:D25" location="'12-2'!A1" display="عقــود الزواج حسب عدد الزوجـات بالعصمــة وفئة عمر الزوج (غير قطريين) (2010)"/>
    <hyperlink ref="A29:D29" location="'13-3'!A1" display="عقود الزواج حسب الحالة الزواجية وفئة عمر الزوج (المجموع) (2010)"/>
    <hyperlink ref="A30:D30" location="'14-1'!A1" display="عقود الزواج حسب الحالة الزواجية للزوجة وفئة عمرها (قطريات) (2010)"/>
    <hyperlink ref="A31:D31" location="'14-2'!A1" display="'14-2'!A1"/>
    <hyperlink ref="A32:D32" location="'14-3'!A1" display="عقود الزواج حسب الحالة الزواجية للزوجة وفئة عمرها (المجموع) (2010)"/>
    <hyperlink ref="A33:D33" location="'15-1'!A1" display="عقود الزواج الأول للزوج والزوجة حسب العمر (قطريون) (2010)"/>
    <hyperlink ref="A34:D34" location="'15-2'!A1" display="عقود الزواج الأول للزوج والزوجة حسب العمر(غير قطريين) (2010)"/>
    <hyperlink ref="A35:D35" location="'15-3'!A1" display="عقود الزواج الأول للزوج والزوجة حسب العمر (المجموع) (2010)"/>
    <hyperlink ref="A36:D36" location="'16-1'!A1" display="عقود الزواج حسب الحالة التعليمية للزوجة والزوج (قطريون) (2010)"/>
    <hyperlink ref="A37:D37" location="'16-2'!A1" display="'16-2'!A1"/>
    <hyperlink ref="A38:D38" location="'16-3'!A1" display="عقود الزواج حسب الحالة التعليمية للزوجة والزوج (المجموع) (2010)"/>
    <hyperlink ref="A39:D39" location="'17-1'!A1" display="عقود الزواج حسب مهنة الزوجة والزوج (قطريون) (2010)"/>
    <hyperlink ref="A40:D40" location="'17-2'!A1" display="عقود الزواج حسب مهنة الزوجة والزوج (غير قطريين) (2010)"/>
    <hyperlink ref="A41:D41" location="'17-3'!A1" display="عقود الزواج حسب مهنة الزوجة والزوج (المجموع) (2010)"/>
    <hyperlink ref="A42:D42" location="'18-1'!A1" display="عقود الزواج للقطريين حسب صلة القرابة وفئة عمر الزوجة والزوج (قرابة من الدرجة الأولى) (2010)"/>
    <hyperlink ref="A43:D43" location="'18-2'!A1" display="عقود الزواج للقطريين حسب صلة القرابة وفئة عمر الزوجة والزوج (قرابة من الدرجة الثانية) (2010)"/>
    <hyperlink ref="A26:D26" location="'12-3'!A1" display="عقود الزواج حسب عدد الزوجات بالعصمة وفئة عمر الزوج (المجموع) (2010)"/>
    <hyperlink ref="A27:D27" location="'13-1'!A1" display="عقود الزواج حسب الحالة الزواجية وفئة عمر الزوج (قطريون) (2010)"/>
    <hyperlink ref="A28:D28" location="'13-2'!A1" display="عقود الزواج حسب الحالة الزواجية وفئة عمر الزوج (غير قطريين) (2010)"/>
    <hyperlink ref="A50:D50" location="'22'!A1" display="اشهادات الطلاق حسب جنسية الزوج والزوجة ومكان اقامة الزوج (2010)"/>
    <hyperlink ref="A51:D51" location="'23'!A1" display="اشهادات الطلاق حسب جنسية الزوج والزوجة والشهر (2010)"/>
    <hyperlink ref="A52:D52" location="'24'!A1" display="اشهادات الطلاق حسب نوع الطلاق وجنسية الزوج (2010)"/>
    <hyperlink ref="A53:D53" location="'25-1'!A1" display="اشهادات الطلاق حسب نوع الطلاق وفئة عمر الزوج (قطريون) (2010)"/>
    <hyperlink ref="A54:D54" location="'25-2'!A1" display="'25-2'!A1"/>
    <hyperlink ref="A55:D55" location="'25-3'!A1" display="اشهادات الطلاق حسب نوع الطلاق وفئة عمر الزوج (المجموع) (2010)"/>
    <hyperlink ref="A56:D56" location="'26-1'!A1" display="اشهادات الطلاق حسب نوع الطلاق وفئة عمر الزوجة (قطريات) (2010)"/>
    <hyperlink ref="A57:D57" location="'26-2'!A1" display="'26-2'!A1"/>
    <hyperlink ref="A58:D58" location="'26-3'!A1" display="اشهادات الطلاق حسب نوع الطلاق وفئة عمر الزوجة (المجموع) (2010)"/>
    <hyperlink ref="A60:D60" location="'28.1'!A1" display="اشهادات الطلاق حسب نوع الطلاق ومدة الحياة الزواجية للزوج (قطريون) (2011)"/>
    <hyperlink ref="A61:D61" location="'28.2'!A1" display="اشهادات الطلاق حسب نوع الطلاق ومدة الحياة الزواجية للزوج (غير قطريين) (2011)"/>
    <hyperlink ref="A62:D62" location="'28.3'!A1" display="اشهادات الطلاق حسب نوع الطلاق ومدة الحياة الزواجية للزوج (المجموع) (2011)"/>
    <hyperlink ref="A64:D64" location="'30.1'!A1" display="اشهادات الطلاق حسب نوع الطلاق ومدة الحياة الزواجية للزوجة (قطريات) (2011)"/>
    <hyperlink ref="A65:D65" location="'30.2'!A1" display="اشهادات الطلاق حسب نوع الطلاق ومدة الحياة الزواجية للزوجة (غيرقطريات) (2011)"/>
    <hyperlink ref="A66:D66" location="'30.3'!A1" display="اشهادات الطلاق حسب نوع الطلاق ومدة الحياة الزواجية للزوجة (المجموع) (2011)"/>
    <hyperlink ref="A67:D67" location="'31.1'!A1" display="اشهادات الطلاق حسب مدة الحياة الزواجية وفئة عمر الزوج (قطريون) (2011)"/>
    <hyperlink ref="A68:D68" location="'31.2'!A1" display="'31.2'!A1"/>
    <hyperlink ref="A69:D69" location="'31.3'!A1" display="'31.3'!A1"/>
    <hyperlink ref="A70:D70" location="'32.1'!A1" display="اشهادات الطلاق حسب مدة الحياة الزواجية وفئة عمر الزوجة (قطريات) (2011)"/>
    <hyperlink ref="A71:D71" location="'32.2'!A1" display="'32.2'!A1"/>
    <hyperlink ref="A72:D72" location="'32.3'!A1" display="'32.3'!A1"/>
    <hyperlink ref="A73:D73" location="'33.1'!A1" display="اشهادات الطلاق حسب فئة عمر الزوجة والزوج (قطريون) (2011)"/>
    <hyperlink ref="A74:D74" location="'33.2'!A1" display="اشهادات الطلاق حسب فئة عمر الزوجة والزوج (غير قطريين) (2011)"/>
    <hyperlink ref="A75:D75" location="'33.3'!A1" display="اشهادات الطلاق حسب فئة عمر الزوجة والزوج (المجموع) (2011)"/>
    <hyperlink ref="A76:D76" location="'34'!A1" display="اشهادات الطلاق حسب فئة عمر الزوج وجنسيته (2011)"/>
    <hyperlink ref="A77:D77" location="'35'!A1" display="اشهادات الطلاق حسب فئة عمر الزوجة وجنسيتها (2011)"/>
    <hyperlink ref="A78:D78" location="'36'!A1" display="اشهادات الطلاق حسب جنسية الزوجة والزوج (2011)"/>
    <hyperlink ref="A79:D79" location="'37'!A1" display="إشهادات الطلاق حسب عدد الزوجات بالعصمة وفئة عمر الزوج (2011)"/>
    <hyperlink ref="A80:D80" location="'38.1'!A1" display="اشهادات الطلاق حسب الحالة التعليمية للزوجة والزوج (قطريون) (2011)"/>
    <hyperlink ref="A81:D81" location="'38.2'!A1" display="'38.2'!A1"/>
    <hyperlink ref="A82:D82" location="'38.3'!A1" display="اشهادات الطلاق حسب الحالة التعليمية للزوجة والزوج (المجموع) (2011)"/>
    <hyperlink ref="A83:D83" location="'39.1'!A1" display="اشهادات الطلاق حسب الحالة التعليمية للزوجة وفئة عمرها (قطريات) (2011)"/>
    <hyperlink ref="A84:D84" location="'39.2'!A1" display="'39.2'!A1"/>
    <hyperlink ref="A85:D85" location="'39.3'!A1" display="اشهادات الطلاق حسب الحالة التعليمية للزوجة وفئة عمرها (المجموع) (2011)"/>
    <hyperlink ref="A86:D86" location="'40.1'!A1" display="اشهادات الطلاق حسب مهنة الزوجة والزوج (قطريون) (2011)"/>
    <hyperlink ref="A87:D87" location="'40.2'!A1" display="اشهادات الطلاق حسب مهنة الزوجة والزوج (غير قطريين) (2011)"/>
    <hyperlink ref="A88:D88" location="'40.3'!A1" display="اشهادات الطلاق حسب مهنة الزوجة والزوج (المجموع) (2011)"/>
    <hyperlink ref="A89:D89" location="'41.1'!A1" display="إشهادات الطلاق للقطريين حسب صلة القرابة وفئة عمر الزوج والزوجة (القرابة من الدرجة الأولى) (2011)"/>
    <hyperlink ref="A90:D90" location="'41.2'!A1" display="إشهادات الطلاق للقطريين حسب صلة القرابة وفئة عمر الزوج والزوجة (القرابة من الدرجة الثانية) (2011)"/>
    <hyperlink ref="A91:D91" location="'41.3'!A1" display="إشهادات الطلاق للقطريين حسب صلة القرابة وفئة عمر الزوج والزوجة (لا توجد صلة قرابة) (2011)"/>
    <hyperlink ref="A92:D92" location="'42-1'!A1" display="عدد الأبناء للمطلقة حسب فئة عمرالزوج والزوجة (قطريات) (2011)"/>
    <hyperlink ref="A93:D93" location="'42-2'!A1" display="عدد الأبناء للمطلقة حسب فئة عمرالزوج والزوجة (غير قطريات) (2011)"/>
    <hyperlink ref="A94:D94" location="'42-3'!A1" display="عدد الأبناء للمطلقة حسب فئة عمرالزوج والزوجة (المجموع) (2011)"/>
    <hyperlink ref="A95:D95" location="'43-1'!A1" display="إشهادات الطلاق حسب عدد الأبناء وفئة عمر الزوجة (قطريات) (2011)"/>
    <hyperlink ref="A96:D96" location="'43-2'!A1" display="إشهادات الطلاق حسب عدد الأبناء وفئة عمر الزوجة(غير قطريات) (2011)"/>
    <hyperlink ref="A97:D97" location="'43-3'!A1" display="إشهادات الطلاق حسب عدد الأبناء وفئة عمر الزوجة(المجموع) (2011)"/>
    <hyperlink ref="A103:D103" location="زواج!A1" display="1 - كشف عقود زواج"/>
    <hyperlink ref="A104:D104" location="طلاق!A1" display="2 - كشف اشهادات الطلاق"/>
    <hyperlink ref="A48:D48" location="'21'!A1" display="معدل الطلاق العام حسب الجنسية والجنس لكل الف من السكان (15 سنة فأكثر) (2001 - 2010)"/>
    <hyperlink ref="A99:D99" location="'45'!A1" display="إشهادات الطلاق حسب جنسية الزوج والزوجة وعدد أبناء الزوجة ومدة الحياة الزواجية للزوج"/>
    <hyperlink ref="A98:D98" location="'44'!A1" display="إشهادات الطلاق حسب عدد أبناء الزوجة وجنسية الزوج والزوجة"/>
    <hyperlink ref="A11:D11" location="'2'!A1" display="عقود الزواج واشهادات الطلاق لفاقدين القيد حسب الجنسية"/>
    <hyperlink ref="A44:D44" location="'18-3'!A1" display="عقود الزواج للقطريين حسب صلة القرابة وفئة عمر الزوجة والزوج (لا توجد صلة قرابة) (2010)"/>
    <hyperlink ref="A45:D45" location="'19'!A1" display="عقود الزواج حسب عدد أبناء الزوج وجنسية الزوج والزوجة"/>
    <hyperlink ref="A46:D46" location="'20'!A1" display="عقود الزواج حسب عدد أبناء الزوجة وجنسية الزوج والزوجة"/>
    <hyperlink ref="A59:D59" location="'27'!A1" display="إشهادات الطلاق حسب نوع الطلاق وطالب الطلاق وجنسية الزوج والزوجة"/>
    <hyperlink ref="A63:D63" location="'29'!A1" display="إشهادات الطلاق حسب جنسية الزوج والزوجة وعدد طالبي الطلاق ومدة الحياة الزواجية للزوج"/>
    <hyperlink ref="A100:D100" location="'46'!A1" display="عدد الأبناء للمطلقة من الزوج الحالي حسب جنسية الزوجة"/>
    <hyperlink ref="A101:D101" location="'47'!A1" display="عدد الأبناء للمطلقة من الأزواج السابقين حسب جنسية الزوجة"/>
    <hyperlink ref="D11" r:id="rId1" location="'2'!A1" display="Bulletin_Marriages_Divorces_DB_2013.xlsx - '2'!A1"/>
    <hyperlink ref="D12" r:id="rId2" location="'3'!A1" display="Bulletin_Marriages_Divorces_DB_2013.xlsx - '3'!A1"/>
    <hyperlink ref="D13" r:id="rId3" location="'4'!A1" display="Bulletin_Marriages_Divorces_DB_2013.xlsx - '4'!A1"/>
    <hyperlink ref="D14" r:id="rId4" location="'5'!A1" display="Bulletin_Marriages_Divorces_DB_2013.xlsx - '5'!A1"/>
    <hyperlink ref="D17" r:id="rId5" location="'7'!A1" display="Bulletin_Marriages_Divorces_DB_2013.xlsx - '7'!A1"/>
    <hyperlink ref="D18" r:id="rId6" location="'8'!A1" display="Bulletin_Marriages_Divorces_DB_2013.xlsx - '8'!A1"/>
    <hyperlink ref="D19" r:id="rId7" location="'9'!A1" display="Bulletin_Marriages_Divorces_DB_2013.xlsx - '9'!A1"/>
    <hyperlink ref="D20" r:id="rId8" location="'10'!A1" display="Bulletin_Marriages_Divorces_DB_2013.xlsx - '10'!A1"/>
    <hyperlink ref="D21" r:id="rId9" location="'11-1'!A1" display="Bulletin_Marriages_Divorces_DB_2013.xlsx - '11-1'!A1"/>
    <hyperlink ref="D22" r:id="rId10" location="'11-2'!A1" display="Bulletin_Marriages_Divorces_DB_2013.xlsx - '11-2'!A1"/>
    <hyperlink ref="D23" r:id="rId11" location="'11-3'!A1" display="Bulletin_Marriages_Divorces_DB_2013.xlsx - '11-3'!A1"/>
    <hyperlink ref="D24" r:id="rId12" location="'12-1'!A1" display="Bulletin_Marriages_Divorces_DB_2013.xlsx - '12-1'!A1"/>
    <hyperlink ref="D25" r:id="rId13" location="'12-2'!A1" display="Bulletin_Marriages_Divorces_DB_2013.xlsx - '12-2'!A1"/>
    <hyperlink ref="D26" r:id="rId14" location="'12-3'!A1" display="Bulletin_Marriages_Divorces_DB_2013.xlsx - '12-3'!A1"/>
    <hyperlink ref="D27" r:id="rId15" location="'13-1'!A1" display="Bulletin_Marriages_Divorces_DB_2013.xlsx - '13-1'!A1"/>
    <hyperlink ref="D28" r:id="rId16" location="'13-2'!A1" display="Bulletin_Marriages_Divorces_DB_2013.xlsx - '13-2'!A1"/>
    <hyperlink ref="D29" r:id="rId17" location="'13-3'!A1" display="Bulletin_Marriages_Divorces_DB_2013.xlsx - '13-3'!A1"/>
    <hyperlink ref="D30" r:id="rId18" location="'14-1'!A1" display="Bulletin_Marriages_Divorces_DB_2013.xlsx - '14-1'!A1"/>
    <hyperlink ref="D31" r:id="rId19" location="'14-2'!A1" display="Bulletin_Marriages_Divorces_DB_2013.xlsx - '14-2'!A1"/>
    <hyperlink ref="D32" r:id="rId20" location="'14-3'!A1" display="Bulletin_Marriages_Divorces_DB_2013.xlsx - '14-3'!A1"/>
    <hyperlink ref="D33" r:id="rId21" location="'15-1'!A1" display="Bulletin_Marriages_Divorces_DB_2013.xlsx - '15-1'!A1"/>
    <hyperlink ref="D34" r:id="rId22" location="'15-2'!A1" display="Bulletin_Marriages_Divorces_DB_2013.xlsx - '15-2'!A1"/>
    <hyperlink ref="D35" r:id="rId23" location="'15-3'!A1" display="Bulletin_Marriages_Divorces_DB_2013.xlsx - '15-3'!A1"/>
    <hyperlink ref="D36" r:id="rId24" location="'16-1'!A1" display="Bulletin_Marriages_Divorces_DB_2013.xlsx - '16-1'!A1"/>
    <hyperlink ref="D37" r:id="rId25" location="'16-2'!A1" display="Bulletin_Marriages_Divorces_DB_2013.xlsx - '16-2'!A1"/>
    <hyperlink ref="D38" r:id="rId26" location="'16-3'!A1" display="Bulletin_Marriages_Divorces_DB_2013.xlsx - '16-3'!A1"/>
    <hyperlink ref="D39" r:id="rId27" location="'17-1'!A1" display="Bulletin_Marriages_Divorces_DB_2013.xlsx - '17-1'!A1"/>
    <hyperlink ref="D40" r:id="rId28" location="'17-2'!A1" display="Bulletin_Marriages_Divorces_DB_2013.xlsx - '17-2'!A1"/>
    <hyperlink ref="D41" r:id="rId29" location="'17-3'!A1" display="Bulletin_Marriages_Divorces_DB_2013.xlsx - '17-3'!A1"/>
    <hyperlink ref="D42" r:id="rId30" location="'18-1'!A1" display="Bulletin_Marriages_Divorces_DB_2013.xlsx - '18-1'!A1"/>
    <hyperlink ref="D43" r:id="rId31" location="'18-2'!A1" display="Bulletin_Marriages_Divorces_DB_2013.xlsx - '18-2'!A1"/>
    <hyperlink ref="D44" r:id="rId32" location="'18-3'!A1" display="Bulletin_Marriages_Divorces_DB_2013.xlsx - '18-3'!A1"/>
    <hyperlink ref="D45" r:id="rId33" location="'19'!A1" display="Bulletin_Marriages_Divorces_DB_2013.xlsx - '19'!A1"/>
    <hyperlink ref="D46" r:id="rId34" location="'20'!A1" display="Bulletin_Marriages_Divorces_DB_2013.xlsx - '20'!A1"/>
    <hyperlink ref="D48" r:id="rId35" location="'21'!A1" display="Bulletin_Marriages_Divorces_DB_2013.xlsx - '21'!A1"/>
    <hyperlink ref="D50" r:id="rId36" location="'22'!A1" display="Bulletin_Marriages_Divorces_DB_2013.xlsx - '22'!A1"/>
    <hyperlink ref="D51" r:id="rId37" location="'23'!A1" display="Bulletin_Marriages_Divorces_DB_2013.xlsx - '23'!A1"/>
    <hyperlink ref="D52" r:id="rId38" location="'24'!A1" display="Bulletin_Marriages_Divorces_DB_2013.xlsx - '24'!A1"/>
    <hyperlink ref="D53" r:id="rId39" location="'25-1'!A1" display="Bulletin_Marriages_Divorces_DB_2013.xlsx - '25-1'!A1"/>
    <hyperlink ref="D54" r:id="rId40" location="'25-2'!A1" display="Bulletin_Marriages_Divorces_DB_2013.xlsx - '25-2'!A1"/>
    <hyperlink ref="D55" r:id="rId41" location="'25-3'!A1" display="Bulletin_Marriages_Divorces_DB_2013.xlsx - '25-3'!A1"/>
    <hyperlink ref="D56" r:id="rId42" location="'26-1'!A1" display="Bulletin_Marriages_Divorces_DB_2013.xlsx - '26-1'!A1"/>
    <hyperlink ref="D57" r:id="rId43" location="'26-2'!A1" display="Bulletin_Marriages_Divorces_DB_2013.xlsx - '26-2'!A1"/>
    <hyperlink ref="D58" r:id="rId44" location="'26-3'!A1" display="Bulletin_Marriages_Divorces_DB_2013.xlsx - '26-3'!A1"/>
    <hyperlink ref="D59" r:id="rId45" location="'27'!A1" display="Bulletin_Marriages_Divorces_DB_2013.xlsx - '27'!A1"/>
    <hyperlink ref="D60" r:id="rId46" location="'28.1'!A1" display="Bulletin_Marriages_Divorces_DB_2013.xlsx - '28.1'!A1"/>
    <hyperlink ref="D61" r:id="rId47" location="'28.2'!A1" display="Bulletin_Marriages_Divorces_DB_2013.xlsx - '28.2'!A1"/>
    <hyperlink ref="D62" r:id="rId48" location="'28.3'!A1" display="Bulletin_Marriages_Divorces_DB_2013.xlsx - '28.3'!A1"/>
    <hyperlink ref="D63" r:id="rId49" location="'29'!A1" display="Bulletin_Marriages_Divorces_DB_2013.xlsx - '29'!A1"/>
    <hyperlink ref="D64" r:id="rId50" location="'30.1'!A1" display="Bulletin_Marriages_Divorces_DB_2013.xlsx - '30.1'!A1"/>
    <hyperlink ref="D65" r:id="rId51" location="'30.2'!A1" display="Bulletin_Marriages_Divorces_DB_2013.xlsx - '30.2'!A1"/>
    <hyperlink ref="D66" r:id="rId52" location="'30.3'!A1" display="Bulletin_Marriages_Divorces_DB_2013.xlsx - '30.3'!A1"/>
    <hyperlink ref="D67" r:id="rId53" location="'31.1'!A1" display="Bulletin_Marriages_Divorces_DB_2013.xlsx - '31.1'!A1"/>
    <hyperlink ref="D68" r:id="rId54" location="'31.2'!A1" display="Bulletin_Marriages_Divorces_DB_2013.xlsx - '31.2'!A1"/>
    <hyperlink ref="D69" r:id="rId55" location="'31.3'!A1" display="Bulletin_Marriages_Divorces_DB_2013.xlsx - '31.3'!A1"/>
    <hyperlink ref="D70" r:id="rId56" location="'32.1'!A1" display="Bulletin_Marriages_Divorces_DB_2013.xlsx - '32.1'!A1"/>
    <hyperlink ref="D71" r:id="rId57" location="'32.2'!A1" display="Bulletin_Marriages_Divorces_DB_2013.xlsx - '32.2'!A1"/>
    <hyperlink ref="D72" r:id="rId58" location="'32.3'!A1" display="Bulletin_Marriages_Divorces_DB_2013.xlsx - '32.3'!A1"/>
    <hyperlink ref="D73" r:id="rId59" location="'33.1'!A1" display="Bulletin_Marriages_Divorces_DB_2013.xlsx - '33.1'!A1"/>
    <hyperlink ref="D74" r:id="rId60" location="'33.2'!A1" display="Bulletin_Marriages_Divorces_DB_2013.xlsx - '33.2'!A1"/>
    <hyperlink ref="D75" r:id="rId61" location="'33.3'!A1" display="Bulletin_Marriages_Divorces_DB_2013.xlsx - '33.3'!A1"/>
    <hyperlink ref="D76" r:id="rId62" location="'34'!A1" display="Bulletin_Marriages_Divorces_DB_2013.xlsx - '34'!A1"/>
    <hyperlink ref="D77" r:id="rId63" location="'35'!A1" display="Bulletin_Marriages_Divorces_DB_2013.xlsx - '35'!A1"/>
    <hyperlink ref="D78" r:id="rId64" location="'36'!A1" display="Bulletin_Marriages_Divorces_DB_2013.xlsx - '36'!A1"/>
    <hyperlink ref="D79" r:id="rId65" location="'37'!A1" display="Bulletin_Marriages_Divorces_DB_2013.xlsx - '37'!A1"/>
    <hyperlink ref="D80" r:id="rId66" location="'38.1'!A1" display="Bulletin_Marriages_Divorces_DB_2013.xlsx - '38.1'!A1"/>
    <hyperlink ref="D81" r:id="rId67" location="'38.2'!A1" display="Bulletin_Marriages_Divorces_DB_2013.xlsx - '38.2'!A1"/>
    <hyperlink ref="D82" r:id="rId68" location="'38.3'!A1" display="Bulletin_Marriages_Divorces_DB_2013.xlsx - '38.3'!A1"/>
    <hyperlink ref="D83" r:id="rId69" location="'39.1'!A1" display="Bulletin_Marriages_Divorces_DB_2013.xlsx - '39.1'!A1"/>
    <hyperlink ref="D84" r:id="rId70" location="'39.2'!A1" display="Bulletin_Marriages_Divorces_DB_2013.xlsx - '39.2'!A1"/>
    <hyperlink ref="D85" r:id="rId71" location="'39.3'!A1" display="Bulletin_Marriages_Divorces_DB_2013.xlsx - '39.3'!A1"/>
    <hyperlink ref="D86" r:id="rId72" location="'40.1'!A1" display="Bulletin_Marriages_Divorces_DB_2013.xlsx - '40.1'!A1"/>
    <hyperlink ref="D87" r:id="rId73" location="'40.2'!A1" display="Bulletin_Marriages_Divorces_DB_2013.xlsx - '40.2'!A1"/>
    <hyperlink ref="D88" r:id="rId74" location="'40.3'!A1" display="Bulletin_Marriages_Divorces_DB_2013.xlsx - '40.3'!A1"/>
    <hyperlink ref="D89" r:id="rId75" location="'41.1'!A1" display="Bulletin_Marriages_Divorces_DB_2013.xlsx - '41.1'!A1"/>
    <hyperlink ref="D90" r:id="rId76" location="'41.2'!A1" display="Bulletin_Marriages_Divorces_DB_2013.xlsx - '41.2'!A1"/>
    <hyperlink ref="D91" r:id="rId77" location="'41.3'!A1" display="Bulletin_Marriages_Divorces_DB_2013.xlsx - '41.3'!A1"/>
    <hyperlink ref="D92" r:id="rId78" location="'42-1'!A1" display="Bulletin_Marriages_Divorces_DB_2013.xlsx - '42-1'!A1"/>
    <hyperlink ref="D93" r:id="rId79" location="'42-2'!A1" display="Bulletin_Marriages_Divorces_DB_2013.xlsx - '42-2'!A1"/>
    <hyperlink ref="D94" r:id="rId80" location="'42-3'!A1" display="Bulletin_Marriages_Divorces_DB_2013.xlsx - '42-3'!A1"/>
    <hyperlink ref="D95" r:id="rId81" location="'43-1'!A1" display="Bulletin_Marriages_Divorces_DB_2013.xlsx - '43-1'!A1"/>
    <hyperlink ref="D96" r:id="rId82" location="'43-2'!A1" display="Bulletin_Marriages_Divorces_DB_2013.xlsx - '43-2'!A1"/>
    <hyperlink ref="D97" r:id="rId83" location="'43-3'!A1" display="Bulletin_Marriages_Divorces_DB_2013.xlsx - '43-3'!A1"/>
    <hyperlink ref="D98" r:id="rId84" location="'44'!A1" display="Bulletin_Marriages_Divorces_DB_2013.xlsx - '44'!A1"/>
    <hyperlink ref="D99" r:id="rId85" location="'45'!A1" display="Bulletin_Marriages_Divorces_DB_2013.xlsx - '45'!A1"/>
    <hyperlink ref="D103" r:id="rId86" location="Cont.!A1" display="Bulletin_Marriages_Divorces_DB_2013.xlsx - Cont.!A1"/>
    <hyperlink ref="D104" r:id="rId87" location="Cont.!A1" display="Bulletin_Marriages_Divorces_DB_2013.xlsx - Cont.!A1"/>
    <hyperlink ref="A15:D15" location="'6'!A1" display="عقود الزواج حسب جنسية الزوج والزوجة والشهر (2009)"/>
    <hyperlink ref="D15" r:id="rId88" location="'6'!A1" display="\\qsa-app01.qsa.local\Population\نشرات\الزواج والطلاق\2014\Bulletin_Marriages_Divorces_DB_2013.xlsx - '6'!A1"/>
    <hyperlink ref="D16" r:id="rId89" location="'6'!A1" display="\\qsa-app01.qsa.local\Population\نشرات\الزواج والطلاق\2014\Bulletin_Marriages_Divorces_DB_2013.xlsx - '6'!A1"/>
    <hyperlink ref="A49:D49" location="'22'!A1" display="اشهادات الطلاق حسب جنسية الزوج والزوجة ومكان اقامة الزوج (2010)"/>
    <hyperlink ref="D49" r:id="rId90" location="'22'!A1" display="Bulletin_Marriages_Divorces_DB_2013.xlsx - '22'!A1"/>
  </hyperlinks>
  <printOptions horizontalCentered="1"/>
  <pageMargins left="0" right="0" top="0.78740157480314965" bottom="0.39370078740157483" header="0.51181102362204722" footer="0.51181102362204722"/>
  <pageSetup paperSize="9" scale="98" orientation="portrait" r:id="rId91"/>
  <headerFooter alignWithMargins="0"/>
  <rowBreaks count="3" manualBreakCount="3">
    <brk id="31" max="3" man="1"/>
    <brk id="57" max="3" man="1"/>
    <brk id="84" max="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rightToLeft="1" view="pageBreakPreview" zoomScaleNormal="100" zoomScaleSheetLayoutView="100" workbookViewId="0">
      <selection activeCell="H16" sqref="H16"/>
    </sheetView>
  </sheetViews>
  <sheetFormatPr defaultColWidth="9.140625" defaultRowHeight="12.75"/>
  <cols>
    <col min="1" max="1" width="25.28515625" style="2" customWidth="1"/>
    <col min="2" max="4" width="13.7109375" style="2" customWidth="1"/>
    <col min="5" max="5" width="11.140625" style="2" customWidth="1"/>
    <col min="6" max="6" width="19.140625" style="2" customWidth="1"/>
    <col min="7" max="7" width="9.42578125" style="2" customWidth="1"/>
    <col min="8" max="8" width="26.7109375" style="2" customWidth="1"/>
    <col min="9" max="16384" width="9.140625" style="2"/>
  </cols>
  <sheetData>
    <row r="1" spans="1:11" ht="21.75" customHeight="1">
      <c r="A1" s="934" t="s">
        <v>299</v>
      </c>
      <c r="B1" s="934"/>
      <c r="C1" s="994"/>
      <c r="D1" s="934"/>
      <c r="E1" s="934"/>
      <c r="F1" s="934"/>
      <c r="G1" s="934"/>
      <c r="H1" s="934"/>
    </row>
    <row r="2" spans="1:11" ht="15.75">
      <c r="A2" s="958" t="s">
        <v>298</v>
      </c>
      <c r="B2" s="958"/>
      <c r="C2" s="958"/>
      <c r="D2" s="958"/>
      <c r="E2" s="958"/>
      <c r="F2" s="958"/>
      <c r="G2" s="958"/>
      <c r="H2" s="958"/>
    </row>
    <row r="3" spans="1:11" ht="18" customHeight="1">
      <c r="A3" s="959">
        <v>2015</v>
      </c>
      <c r="B3" s="959"/>
      <c r="C3" s="959"/>
      <c r="D3" s="959"/>
      <c r="E3" s="959"/>
      <c r="F3" s="959"/>
      <c r="G3" s="959"/>
      <c r="H3" s="959"/>
      <c r="I3" s="125"/>
      <c r="J3" s="125"/>
      <c r="K3" s="125"/>
    </row>
    <row r="4" spans="1:11" ht="15.75">
      <c r="A4" s="959" t="s">
        <v>173</v>
      </c>
      <c r="B4" s="959"/>
      <c r="C4" s="959"/>
      <c r="D4" s="959"/>
      <c r="E4" s="959"/>
      <c r="F4" s="959"/>
      <c r="G4" s="959"/>
      <c r="H4" s="959"/>
    </row>
    <row r="5" spans="1:11" ht="15.75">
      <c r="A5" s="635"/>
      <c r="B5" s="635"/>
      <c r="C5" s="635"/>
      <c r="D5" s="635"/>
      <c r="E5" s="635"/>
      <c r="F5" s="635"/>
      <c r="G5" s="635"/>
      <c r="H5" s="635"/>
    </row>
    <row r="6" spans="1:11" s="93" customFormat="1" ht="15.75">
      <c r="A6" s="648" t="s">
        <v>316</v>
      </c>
      <c r="B6" s="649"/>
      <c r="C6" s="649"/>
      <c r="D6" s="649"/>
      <c r="E6" s="649"/>
      <c r="F6" s="649"/>
      <c r="G6" s="649"/>
      <c r="H6" s="650" t="s">
        <v>315</v>
      </c>
    </row>
    <row r="7" spans="1:11" ht="26.25" customHeight="1" thickBot="1">
      <c r="A7" s="985" t="s">
        <v>289</v>
      </c>
      <c r="B7" s="969" t="s">
        <v>295</v>
      </c>
      <c r="C7" s="969"/>
      <c r="D7" s="969"/>
      <c r="E7" s="969"/>
      <c r="F7" s="969"/>
      <c r="G7" s="969"/>
      <c r="H7" s="987" t="s">
        <v>288</v>
      </c>
    </row>
    <row r="8" spans="1:11" ht="40.5" customHeight="1">
      <c r="A8" s="986"/>
      <c r="B8" s="582" t="s">
        <v>294</v>
      </c>
      <c r="C8" s="582">
        <v>1</v>
      </c>
      <c r="D8" s="582">
        <v>2</v>
      </c>
      <c r="E8" s="582">
        <v>3</v>
      </c>
      <c r="F8" s="582" t="s">
        <v>293</v>
      </c>
      <c r="G8" s="583" t="s">
        <v>256</v>
      </c>
      <c r="H8" s="988"/>
    </row>
    <row r="9" spans="1:11" ht="17.25" customHeight="1" thickBot="1">
      <c r="A9" s="285" t="s">
        <v>751</v>
      </c>
      <c r="B9" s="606">
        <v>45</v>
      </c>
      <c r="C9" s="606">
        <v>0</v>
      </c>
      <c r="D9" s="606">
        <v>0</v>
      </c>
      <c r="E9" s="606">
        <v>0</v>
      </c>
      <c r="F9" s="606">
        <v>0</v>
      </c>
      <c r="G9" s="606">
        <f>SUM(B9:F9)</f>
        <v>45</v>
      </c>
      <c r="H9" s="286" t="s">
        <v>751</v>
      </c>
    </row>
    <row r="10" spans="1:11" ht="17.25" customHeight="1" thickBot="1">
      <c r="A10" s="271" t="s">
        <v>269</v>
      </c>
      <c r="B10" s="602">
        <v>686</v>
      </c>
      <c r="C10" s="602">
        <v>8</v>
      </c>
      <c r="D10" s="602">
        <v>0</v>
      </c>
      <c r="E10" s="602">
        <v>0</v>
      </c>
      <c r="F10" s="602">
        <v>0</v>
      </c>
      <c r="G10" s="606">
        <f t="shared" ref="G10:G22" si="0">SUM(B10:F10)</f>
        <v>694</v>
      </c>
      <c r="H10" s="272" t="s">
        <v>269</v>
      </c>
    </row>
    <row r="11" spans="1:11" ht="17.25" customHeight="1" thickBot="1">
      <c r="A11" s="271" t="s">
        <v>268</v>
      </c>
      <c r="B11" s="602">
        <v>730</v>
      </c>
      <c r="C11" s="602">
        <v>22</v>
      </c>
      <c r="D11" s="602">
        <v>1</v>
      </c>
      <c r="E11" s="602">
        <v>0</v>
      </c>
      <c r="F11" s="602">
        <v>0</v>
      </c>
      <c r="G11" s="606">
        <f t="shared" si="0"/>
        <v>753</v>
      </c>
      <c r="H11" s="272" t="s">
        <v>268</v>
      </c>
    </row>
    <row r="12" spans="1:11" ht="17.25" customHeight="1" thickBot="1">
      <c r="A12" s="271" t="s">
        <v>267</v>
      </c>
      <c r="B12" s="602">
        <v>239</v>
      </c>
      <c r="C12" s="602">
        <v>21</v>
      </c>
      <c r="D12" s="602">
        <v>0</v>
      </c>
      <c r="E12" s="602">
        <v>0</v>
      </c>
      <c r="F12" s="602">
        <v>0</v>
      </c>
      <c r="G12" s="606">
        <f t="shared" si="0"/>
        <v>260</v>
      </c>
      <c r="H12" s="272" t="s">
        <v>267</v>
      </c>
    </row>
    <row r="13" spans="1:11" ht="17.25" customHeight="1" thickBot="1">
      <c r="A13" s="271" t="s">
        <v>266</v>
      </c>
      <c r="B13" s="602">
        <v>92</v>
      </c>
      <c r="C13" s="602">
        <v>23</v>
      </c>
      <c r="D13" s="602">
        <v>4</v>
      </c>
      <c r="E13" s="602">
        <v>1</v>
      </c>
      <c r="F13" s="602">
        <v>0</v>
      </c>
      <c r="G13" s="606">
        <f t="shared" si="0"/>
        <v>120</v>
      </c>
      <c r="H13" s="272" t="s">
        <v>266</v>
      </c>
    </row>
    <row r="14" spans="1:11" ht="17.25" customHeight="1" thickBot="1">
      <c r="A14" s="271" t="s">
        <v>265</v>
      </c>
      <c r="B14" s="602">
        <v>39</v>
      </c>
      <c r="C14" s="602">
        <v>28</v>
      </c>
      <c r="D14" s="602">
        <v>1</v>
      </c>
      <c r="E14" s="602">
        <v>0</v>
      </c>
      <c r="F14" s="602">
        <v>0</v>
      </c>
      <c r="G14" s="606">
        <f t="shared" si="0"/>
        <v>68</v>
      </c>
      <c r="H14" s="272" t="s">
        <v>265</v>
      </c>
    </row>
    <row r="15" spans="1:11" ht="17.25" customHeight="1" thickBot="1">
      <c r="A15" s="271" t="s">
        <v>264</v>
      </c>
      <c r="B15" s="602">
        <v>29</v>
      </c>
      <c r="C15" s="602">
        <v>28</v>
      </c>
      <c r="D15" s="602">
        <v>0</v>
      </c>
      <c r="E15" s="602">
        <v>2</v>
      </c>
      <c r="F15" s="602">
        <v>0</v>
      </c>
      <c r="G15" s="606">
        <f t="shared" si="0"/>
        <v>59</v>
      </c>
      <c r="H15" s="272" t="s">
        <v>264</v>
      </c>
    </row>
    <row r="16" spans="1:11" ht="17.25" customHeight="1" thickBot="1">
      <c r="A16" s="271" t="s">
        <v>263</v>
      </c>
      <c r="B16" s="602">
        <v>17</v>
      </c>
      <c r="C16" s="602">
        <v>22</v>
      </c>
      <c r="D16" s="602">
        <v>2</v>
      </c>
      <c r="E16" s="602">
        <v>0</v>
      </c>
      <c r="F16" s="602">
        <v>0</v>
      </c>
      <c r="G16" s="606">
        <f t="shared" si="0"/>
        <v>41</v>
      </c>
      <c r="H16" s="272" t="s">
        <v>263</v>
      </c>
    </row>
    <row r="17" spans="1:8" ht="17.25" customHeight="1" thickBot="1">
      <c r="A17" s="271" t="s">
        <v>262</v>
      </c>
      <c r="B17" s="602">
        <v>8</v>
      </c>
      <c r="C17" s="602">
        <v>7</v>
      </c>
      <c r="D17" s="602">
        <v>2</v>
      </c>
      <c r="E17" s="602">
        <v>0</v>
      </c>
      <c r="F17" s="602">
        <v>0</v>
      </c>
      <c r="G17" s="606">
        <f t="shared" si="0"/>
        <v>17</v>
      </c>
      <c r="H17" s="272" t="s">
        <v>262</v>
      </c>
    </row>
    <row r="18" spans="1:8" ht="17.25" customHeight="1" thickBot="1">
      <c r="A18" s="271" t="s">
        <v>261</v>
      </c>
      <c r="B18" s="602">
        <v>3</v>
      </c>
      <c r="C18" s="602">
        <v>0</v>
      </c>
      <c r="D18" s="602">
        <v>1</v>
      </c>
      <c r="E18" s="602">
        <v>0</v>
      </c>
      <c r="F18" s="602">
        <v>0</v>
      </c>
      <c r="G18" s="606">
        <f t="shared" si="0"/>
        <v>4</v>
      </c>
      <c r="H18" s="272" t="s">
        <v>261</v>
      </c>
    </row>
    <row r="19" spans="1:8" ht="17.25" customHeight="1" thickBot="1">
      <c r="A19" s="271" t="s">
        <v>260</v>
      </c>
      <c r="B19" s="602">
        <v>2</v>
      </c>
      <c r="C19" s="602">
        <v>1</v>
      </c>
      <c r="D19" s="602">
        <v>0</v>
      </c>
      <c r="E19" s="602">
        <v>0</v>
      </c>
      <c r="F19" s="602">
        <v>0</v>
      </c>
      <c r="G19" s="606">
        <f t="shared" si="0"/>
        <v>3</v>
      </c>
      <c r="H19" s="272" t="s">
        <v>260</v>
      </c>
    </row>
    <row r="20" spans="1:8" ht="17.25" customHeight="1" thickBot="1">
      <c r="A20" s="271" t="s">
        <v>259</v>
      </c>
      <c r="B20" s="602">
        <v>0</v>
      </c>
      <c r="C20" s="602">
        <v>4</v>
      </c>
      <c r="D20" s="602">
        <v>0</v>
      </c>
      <c r="E20" s="602">
        <v>0</v>
      </c>
      <c r="F20" s="602">
        <v>0</v>
      </c>
      <c r="G20" s="606">
        <f t="shared" si="0"/>
        <v>4</v>
      </c>
      <c r="H20" s="272" t="s">
        <v>259</v>
      </c>
    </row>
    <row r="21" spans="1:8" ht="17.25" customHeight="1" thickBot="1">
      <c r="A21" s="271" t="s">
        <v>258</v>
      </c>
      <c r="B21" s="602">
        <v>1</v>
      </c>
      <c r="C21" s="602">
        <v>0</v>
      </c>
      <c r="D21" s="602">
        <v>0</v>
      </c>
      <c r="E21" s="602">
        <v>0</v>
      </c>
      <c r="F21" s="602">
        <v>0</v>
      </c>
      <c r="G21" s="606">
        <f t="shared" si="0"/>
        <v>1</v>
      </c>
      <c r="H21" s="272" t="s">
        <v>258</v>
      </c>
    </row>
    <row r="22" spans="1:8" ht="17.25" customHeight="1">
      <c r="A22" s="289" t="s">
        <v>19</v>
      </c>
      <c r="B22" s="604">
        <v>0</v>
      </c>
      <c r="C22" s="604">
        <v>0</v>
      </c>
      <c r="D22" s="604">
        <v>0</v>
      </c>
      <c r="E22" s="604">
        <v>0</v>
      </c>
      <c r="F22" s="604">
        <v>0</v>
      </c>
      <c r="G22" s="776">
        <f t="shared" si="0"/>
        <v>0</v>
      </c>
      <c r="H22" s="290" t="s">
        <v>20</v>
      </c>
    </row>
    <row r="23" spans="1:8" ht="21.95" customHeight="1" thickBot="1">
      <c r="A23" s="741" t="s">
        <v>21</v>
      </c>
      <c r="B23" s="742">
        <f>SUBTOTAL(109,Table_Default__XLS_TAB_12_1[NO_WIFE_0])</f>
        <v>1891</v>
      </c>
      <c r="C23" s="742">
        <f>SUBTOTAL(109,Table_Default__XLS_TAB_12_1[NO_WIFE_1])</f>
        <v>164</v>
      </c>
      <c r="D23" s="742">
        <f>SUBTOTAL(109,Table_Default__XLS_TAB_12_1[NO_WIFE_2])</f>
        <v>11</v>
      </c>
      <c r="E23" s="742">
        <f>SUBTOTAL(109,Table_Default__XLS_TAB_12_1[NO_WIFE_3])</f>
        <v>3</v>
      </c>
      <c r="F23" s="743">
        <f>SUBTOTAL(109,Table_Default__XLS_TAB_12_1[NO_WIFE_NOT_STATED])</f>
        <v>0</v>
      </c>
      <c r="G23" s="742">
        <f>SUBTOTAL(109,Table_Default__XLS_TAB_12_1[TOTAL])</f>
        <v>2069</v>
      </c>
      <c r="H23" s="744" t="s">
        <v>176</v>
      </c>
    </row>
    <row r="24" spans="1:8" ht="15.75">
      <c r="A24" s="212" t="s">
        <v>292</v>
      </c>
      <c r="B24" s="607">
        <f>B23/$G$23%</f>
        <v>91.39681005316578</v>
      </c>
      <c r="C24" s="607">
        <f>C23/$G$23%</f>
        <v>7.9265345577573703</v>
      </c>
      <c r="D24" s="607">
        <f>D23/$G$23%</f>
        <v>0.53165780570323828</v>
      </c>
      <c r="E24" s="607">
        <f>E23/$G$23%</f>
        <v>0.14499758337361043</v>
      </c>
      <c r="F24" s="607">
        <f>F23/$G$23%</f>
        <v>0</v>
      </c>
      <c r="G24" s="607">
        <f>SUM(B24:F24)</f>
        <v>99.999999999999986</v>
      </c>
      <c r="H24" s="288" t="s">
        <v>24</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rightToLeft="1" view="pageBreakPreview" zoomScaleNormal="100" zoomScaleSheetLayoutView="100" workbookViewId="0">
      <selection activeCell="A3" sqref="A3:H3"/>
    </sheetView>
  </sheetViews>
  <sheetFormatPr defaultColWidth="9.140625" defaultRowHeight="12.75"/>
  <cols>
    <col min="1" max="1" width="25.28515625" style="2" customWidth="1"/>
    <col min="2" max="4" width="13.7109375" style="2" customWidth="1"/>
    <col min="5" max="5" width="11.140625" style="2" customWidth="1"/>
    <col min="6" max="6" width="19.140625" style="2" customWidth="1"/>
    <col min="7" max="7" width="9.42578125" style="2" customWidth="1"/>
    <col min="8" max="8" width="26.7109375" style="2" customWidth="1"/>
    <col min="9" max="16384" width="9.140625" style="2"/>
  </cols>
  <sheetData>
    <row r="1" spans="1:11" ht="21.75" customHeight="1">
      <c r="A1" s="934" t="s">
        <v>299</v>
      </c>
      <c r="B1" s="934"/>
      <c r="C1" s="994"/>
      <c r="D1" s="934"/>
      <c r="E1" s="934"/>
      <c r="F1" s="934"/>
      <c r="G1" s="934"/>
      <c r="H1" s="934"/>
    </row>
    <row r="2" spans="1:11" ht="15.75">
      <c r="A2" s="958" t="s">
        <v>298</v>
      </c>
      <c r="B2" s="958"/>
      <c r="C2" s="958"/>
      <c r="D2" s="958"/>
      <c r="E2" s="958"/>
      <c r="F2" s="958"/>
      <c r="G2" s="958"/>
      <c r="H2" s="958"/>
    </row>
    <row r="3" spans="1:11" ht="18" customHeight="1">
      <c r="A3" s="959">
        <v>2015</v>
      </c>
      <c r="B3" s="959"/>
      <c r="C3" s="959"/>
      <c r="D3" s="959"/>
      <c r="E3" s="959"/>
      <c r="F3" s="959"/>
      <c r="G3" s="959"/>
      <c r="H3" s="959"/>
      <c r="I3" s="125"/>
      <c r="J3" s="125"/>
      <c r="K3" s="125"/>
    </row>
    <row r="4" spans="1:11" ht="15.75">
      <c r="A4" s="959" t="s">
        <v>172</v>
      </c>
      <c r="B4" s="959"/>
      <c r="C4" s="959"/>
      <c r="D4" s="959"/>
      <c r="E4" s="959"/>
      <c r="F4" s="959"/>
      <c r="G4" s="959"/>
      <c r="H4" s="959"/>
    </row>
    <row r="5" spans="1:11" ht="15.75">
      <c r="A5" s="635"/>
      <c r="B5" s="635"/>
      <c r="C5" s="635"/>
      <c r="D5" s="635"/>
      <c r="E5" s="635"/>
      <c r="F5" s="635"/>
      <c r="G5" s="635"/>
      <c r="H5" s="635"/>
    </row>
    <row r="6" spans="1:11" s="93" customFormat="1" ht="15.75">
      <c r="A6" s="648" t="s">
        <v>320</v>
      </c>
      <c r="B6" s="649"/>
      <c r="C6" s="649"/>
      <c r="D6" s="649"/>
      <c r="E6" s="649"/>
      <c r="F6" s="649"/>
      <c r="G6" s="649"/>
      <c r="H6" s="650" t="s">
        <v>319</v>
      </c>
    </row>
    <row r="7" spans="1:11" ht="26.25" customHeight="1" thickBot="1">
      <c r="A7" s="985" t="s">
        <v>289</v>
      </c>
      <c r="B7" s="969" t="s">
        <v>295</v>
      </c>
      <c r="C7" s="969"/>
      <c r="D7" s="969"/>
      <c r="E7" s="969"/>
      <c r="F7" s="969"/>
      <c r="G7" s="969"/>
      <c r="H7" s="987" t="s">
        <v>288</v>
      </c>
    </row>
    <row r="8" spans="1:11" ht="40.5" customHeight="1">
      <c r="A8" s="986"/>
      <c r="B8" s="582" t="s">
        <v>294</v>
      </c>
      <c r="C8" s="582">
        <v>1</v>
      </c>
      <c r="D8" s="582">
        <v>2</v>
      </c>
      <c r="E8" s="582">
        <v>3</v>
      </c>
      <c r="F8" s="582" t="s">
        <v>293</v>
      </c>
      <c r="G8" s="583" t="s">
        <v>256</v>
      </c>
      <c r="H8" s="988"/>
    </row>
    <row r="9" spans="1:11" ht="17.25" customHeight="1" thickBot="1">
      <c r="A9" s="269" t="s">
        <v>751</v>
      </c>
      <c r="B9" s="600">
        <v>14</v>
      </c>
      <c r="C9" s="600">
        <v>0</v>
      </c>
      <c r="D9" s="600">
        <v>0</v>
      </c>
      <c r="E9" s="600">
        <v>0</v>
      </c>
      <c r="F9" s="600">
        <v>0</v>
      </c>
      <c r="G9" s="600">
        <f>SUM(B9:F9)</f>
        <v>14</v>
      </c>
      <c r="H9" s="270" t="s">
        <v>751</v>
      </c>
    </row>
    <row r="10" spans="1:11" ht="17.25" customHeight="1" thickBot="1">
      <c r="A10" s="271" t="s">
        <v>269</v>
      </c>
      <c r="B10" s="602">
        <v>290</v>
      </c>
      <c r="C10" s="602">
        <v>0</v>
      </c>
      <c r="D10" s="602">
        <v>0</v>
      </c>
      <c r="E10" s="602">
        <v>0</v>
      </c>
      <c r="F10" s="602">
        <v>0</v>
      </c>
      <c r="G10" s="600">
        <f t="shared" ref="G10:G22" si="0">SUM(B10:F10)</f>
        <v>290</v>
      </c>
      <c r="H10" s="272" t="s">
        <v>269</v>
      </c>
    </row>
    <row r="11" spans="1:11" ht="17.25" customHeight="1" thickBot="1">
      <c r="A11" s="271" t="s">
        <v>268</v>
      </c>
      <c r="B11" s="602">
        <v>614</v>
      </c>
      <c r="C11" s="602">
        <v>11</v>
      </c>
      <c r="D11" s="602">
        <v>0</v>
      </c>
      <c r="E11" s="602">
        <v>0</v>
      </c>
      <c r="F11" s="602">
        <v>0</v>
      </c>
      <c r="G11" s="600">
        <f t="shared" si="0"/>
        <v>625</v>
      </c>
      <c r="H11" s="272" t="s">
        <v>268</v>
      </c>
    </row>
    <row r="12" spans="1:11" ht="17.25" customHeight="1" thickBot="1">
      <c r="A12" s="271" t="s">
        <v>267</v>
      </c>
      <c r="B12" s="602">
        <v>370</v>
      </c>
      <c r="C12" s="602">
        <v>38</v>
      </c>
      <c r="D12" s="602">
        <v>0</v>
      </c>
      <c r="E12" s="602">
        <v>0</v>
      </c>
      <c r="F12" s="602">
        <v>0</v>
      </c>
      <c r="G12" s="600">
        <f t="shared" si="0"/>
        <v>408</v>
      </c>
      <c r="H12" s="272" t="s">
        <v>267</v>
      </c>
    </row>
    <row r="13" spans="1:11" ht="17.25" customHeight="1" thickBot="1">
      <c r="A13" s="271" t="s">
        <v>266</v>
      </c>
      <c r="B13" s="602">
        <v>124</v>
      </c>
      <c r="C13" s="602">
        <v>31</v>
      </c>
      <c r="D13" s="602">
        <v>1</v>
      </c>
      <c r="E13" s="602">
        <v>0</v>
      </c>
      <c r="F13" s="602">
        <v>0</v>
      </c>
      <c r="G13" s="600">
        <f t="shared" si="0"/>
        <v>156</v>
      </c>
      <c r="H13" s="272" t="s">
        <v>266</v>
      </c>
    </row>
    <row r="14" spans="1:11" ht="17.25" customHeight="1" thickBot="1">
      <c r="A14" s="271" t="s">
        <v>265</v>
      </c>
      <c r="B14" s="602">
        <v>34</v>
      </c>
      <c r="C14" s="602">
        <v>18</v>
      </c>
      <c r="D14" s="602">
        <v>1</v>
      </c>
      <c r="E14" s="602">
        <v>0</v>
      </c>
      <c r="F14" s="602">
        <v>0</v>
      </c>
      <c r="G14" s="600">
        <f t="shared" si="0"/>
        <v>53</v>
      </c>
      <c r="H14" s="272" t="s">
        <v>265</v>
      </c>
    </row>
    <row r="15" spans="1:11" ht="17.25" customHeight="1" thickBot="1">
      <c r="A15" s="271" t="s">
        <v>264</v>
      </c>
      <c r="B15" s="602">
        <v>31</v>
      </c>
      <c r="C15" s="602">
        <v>25</v>
      </c>
      <c r="D15" s="602">
        <v>2</v>
      </c>
      <c r="E15" s="602">
        <v>0</v>
      </c>
      <c r="F15" s="602">
        <v>0</v>
      </c>
      <c r="G15" s="600">
        <f t="shared" si="0"/>
        <v>58</v>
      </c>
      <c r="H15" s="272" t="s">
        <v>264</v>
      </c>
    </row>
    <row r="16" spans="1:11" ht="17.25" customHeight="1" thickBot="1">
      <c r="A16" s="271" t="s">
        <v>263</v>
      </c>
      <c r="B16" s="602">
        <v>15</v>
      </c>
      <c r="C16" s="602">
        <v>8</v>
      </c>
      <c r="D16" s="602">
        <v>2</v>
      </c>
      <c r="E16" s="602">
        <v>0</v>
      </c>
      <c r="F16" s="602">
        <v>0</v>
      </c>
      <c r="G16" s="600">
        <f t="shared" si="0"/>
        <v>25</v>
      </c>
      <c r="H16" s="272" t="s">
        <v>263</v>
      </c>
    </row>
    <row r="17" spans="1:8" ht="17.25" customHeight="1" thickBot="1">
      <c r="A17" s="271" t="s">
        <v>262</v>
      </c>
      <c r="B17" s="602">
        <v>4</v>
      </c>
      <c r="C17" s="602">
        <v>7</v>
      </c>
      <c r="D17" s="602">
        <v>0</v>
      </c>
      <c r="E17" s="602">
        <v>0</v>
      </c>
      <c r="F17" s="602">
        <v>0</v>
      </c>
      <c r="G17" s="600">
        <f t="shared" si="0"/>
        <v>11</v>
      </c>
      <c r="H17" s="272" t="s">
        <v>262</v>
      </c>
    </row>
    <row r="18" spans="1:8" ht="17.25" customHeight="1" thickBot="1">
      <c r="A18" s="271" t="s">
        <v>261</v>
      </c>
      <c r="B18" s="602">
        <v>4</v>
      </c>
      <c r="C18" s="602">
        <v>3</v>
      </c>
      <c r="D18" s="602">
        <v>0</v>
      </c>
      <c r="E18" s="602">
        <v>0</v>
      </c>
      <c r="F18" s="602">
        <v>0</v>
      </c>
      <c r="G18" s="600">
        <f t="shared" si="0"/>
        <v>7</v>
      </c>
      <c r="H18" s="272" t="s">
        <v>261</v>
      </c>
    </row>
    <row r="19" spans="1:8" ht="17.25" customHeight="1" thickBot="1">
      <c r="A19" s="271" t="s">
        <v>260</v>
      </c>
      <c r="B19" s="602">
        <v>4</v>
      </c>
      <c r="C19" s="602">
        <v>1</v>
      </c>
      <c r="D19" s="602">
        <v>0</v>
      </c>
      <c r="E19" s="602">
        <v>0</v>
      </c>
      <c r="F19" s="602">
        <v>0</v>
      </c>
      <c r="G19" s="600">
        <f t="shared" si="0"/>
        <v>5</v>
      </c>
      <c r="H19" s="272" t="s">
        <v>260</v>
      </c>
    </row>
    <row r="20" spans="1:8" ht="17.25" customHeight="1" thickBot="1">
      <c r="A20" s="271" t="s">
        <v>259</v>
      </c>
      <c r="B20" s="602">
        <v>1</v>
      </c>
      <c r="C20" s="602">
        <v>0</v>
      </c>
      <c r="D20" s="602">
        <v>1</v>
      </c>
      <c r="E20" s="602">
        <v>0</v>
      </c>
      <c r="F20" s="602">
        <v>0</v>
      </c>
      <c r="G20" s="600">
        <f t="shared" si="0"/>
        <v>2</v>
      </c>
      <c r="H20" s="272" t="s">
        <v>259</v>
      </c>
    </row>
    <row r="21" spans="1:8" ht="17.25" customHeight="1" thickBot="1">
      <c r="A21" s="271" t="s">
        <v>258</v>
      </c>
      <c r="B21" s="602">
        <v>1</v>
      </c>
      <c r="C21" s="602">
        <v>0</v>
      </c>
      <c r="D21" s="602">
        <v>0</v>
      </c>
      <c r="E21" s="602">
        <v>0</v>
      </c>
      <c r="F21" s="602">
        <v>0</v>
      </c>
      <c r="G21" s="600">
        <f t="shared" si="0"/>
        <v>1</v>
      </c>
      <c r="H21" s="272" t="s">
        <v>258</v>
      </c>
    </row>
    <row r="22" spans="1:8" ht="17.25" customHeight="1">
      <c r="A22" s="289" t="s">
        <v>19</v>
      </c>
      <c r="B22" s="604">
        <v>0</v>
      </c>
      <c r="C22" s="604">
        <v>0</v>
      </c>
      <c r="D22" s="604">
        <v>0</v>
      </c>
      <c r="E22" s="604">
        <v>0</v>
      </c>
      <c r="F22" s="604">
        <v>0</v>
      </c>
      <c r="G22" s="774">
        <f t="shared" si="0"/>
        <v>0</v>
      </c>
      <c r="H22" s="290" t="s">
        <v>20</v>
      </c>
    </row>
    <row r="23" spans="1:8" ht="21.95" customHeight="1" thickBot="1">
      <c r="A23" s="741" t="s">
        <v>21</v>
      </c>
      <c r="B23" s="742">
        <f>SUBTOTAL(109,Table_Default__XLS_TAB_12_2[NO_WIFE_0])</f>
        <v>1506</v>
      </c>
      <c r="C23" s="742">
        <f>SUBTOTAL(109,Table_Default__XLS_TAB_12_2[NO_WIFE_1])</f>
        <v>142</v>
      </c>
      <c r="D23" s="742">
        <f>SUBTOTAL(109,Table_Default__XLS_TAB_12_2[NO_WIFE_2])</f>
        <v>7</v>
      </c>
      <c r="E23" s="742">
        <f>SUBTOTAL(109,Table_Default__XLS_TAB_12_2[NO_WIFE_3])</f>
        <v>0</v>
      </c>
      <c r="F23" s="743">
        <f>SUBTOTAL(109,Table_Default__XLS_TAB_12_2[NO_WIFE_NOT_STATED])</f>
        <v>0</v>
      </c>
      <c r="G23" s="742">
        <f>SUBTOTAL(109,Table_Default__XLS_TAB_12_2[TOTAL])</f>
        <v>1655</v>
      </c>
      <c r="H23" s="744" t="s">
        <v>176</v>
      </c>
    </row>
    <row r="24" spans="1:8" ht="15.75">
      <c r="A24" s="212" t="s">
        <v>292</v>
      </c>
      <c r="B24" s="607">
        <f>B23/$G$23%</f>
        <v>90.996978851963746</v>
      </c>
      <c r="C24" s="607">
        <f>C23/$G$23%</f>
        <v>8.5800604229607256</v>
      </c>
      <c r="D24" s="607">
        <f>D23/$G$23%</f>
        <v>0.42296072507552868</v>
      </c>
      <c r="E24" s="607">
        <f>E23/$G$23%</f>
        <v>0</v>
      </c>
      <c r="F24" s="607">
        <f>F23/$G$23%</f>
        <v>0</v>
      </c>
      <c r="G24" s="607">
        <f>SUM(B24:F24)</f>
        <v>100</v>
      </c>
      <c r="H24" s="288" t="s">
        <v>24</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rightToLeft="1" view="pageBreakPreview" zoomScaleNormal="100" zoomScaleSheetLayoutView="100" workbookViewId="0">
      <selection activeCell="A3" sqref="A3:H3"/>
    </sheetView>
  </sheetViews>
  <sheetFormatPr defaultColWidth="9.140625" defaultRowHeight="12.75"/>
  <cols>
    <col min="1" max="1" width="25.28515625" style="2" customWidth="1"/>
    <col min="2" max="4" width="13.7109375" style="2" customWidth="1"/>
    <col min="5" max="5" width="11.140625" style="2" customWidth="1"/>
    <col min="6" max="6" width="19.140625" style="2" customWidth="1"/>
    <col min="7" max="7" width="9.42578125" style="2" customWidth="1"/>
    <col min="8" max="8" width="26.7109375" style="2" customWidth="1"/>
    <col min="9" max="16384" width="9.140625" style="2"/>
  </cols>
  <sheetData>
    <row r="1" spans="1:11" ht="21.75" customHeight="1">
      <c r="A1" s="934" t="s">
        <v>299</v>
      </c>
      <c r="B1" s="934"/>
      <c r="C1" s="994"/>
      <c r="D1" s="934"/>
      <c r="E1" s="934"/>
      <c r="F1" s="934"/>
      <c r="G1" s="934"/>
      <c r="H1" s="934"/>
    </row>
    <row r="2" spans="1:11" ht="15.75">
      <c r="A2" s="958" t="s">
        <v>298</v>
      </c>
      <c r="B2" s="958"/>
      <c r="C2" s="958"/>
      <c r="D2" s="958"/>
      <c r="E2" s="958"/>
      <c r="F2" s="958"/>
      <c r="G2" s="958"/>
      <c r="H2" s="958"/>
    </row>
    <row r="3" spans="1:11" ht="18" customHeight="1">
      <c r="A3" s="959">
        <v>2015</v>
      </c>
      <c r="B3" s="959"/>
      <c r="C3" s="959"/>
      <c r="D3" s="959"/>
      <c r="E3" s="959"/>
      <c r="F3" s="959"/>
      <c r="G3" s="959"/>
      <c r="H3" s="959"/>
      <c r="I3" s="125"/>
      <c r="J3" s="125"/>
      <c r="K3" s="125"/>
    </row>
    <row r="4" spans="1:11" ht="15.75">
      <c r="A4" s="959" t="s">
        <v>1</v>
      </c>
      <c r="B4" s="959"/>
      <c r="C4" s="959"/>
      <c r="D4" s="959"/>
      <c r="E4" s="959"/>
      <c r="F4" s="959"/>
      <c r="G4" s="959"/>
      <c r="H4" s="959"/>
    </row>
    <row r="5" spans="1:11" ht="15.75">
      <c r="A5" s="635"/>
      <c r="B5" s="635"/>
      <c r="C5" s="635"/>
      <c r="D5" s="635"/>
      <c r="E5" s="635"/>
      <c r="F5" s="635"/>
      <c r="G5" s="635"/>
      <c r="H5" s="635"/>
    </row>
    <row r="6" spans="1:11" s="93" customFormat="1" ht="15.75">
      <c r="A6" s="648" t="s">
        <v>322</v>
      </c>
      <c r="B6" s="649"/>
      <c r="C6" s="649"/>
      <c r="D6" s="649"/>
      <c r="E6" s="649"/>
      <c r="F6" s="649"/>
      <c r="G6" s="649"/>
      <c r="H6" s="650" t="s">
        <v>321</v>
      </c>
    </row>
    <row r="7" spans="1:11" ht="26.25" customHeight="1" thickBot="1">
      <c r="A7" s="985" t="s">
        <v>289</v>
      </c>
      <c r="B7" s="969" t="s">
        <v>295</v>
      </c>
      <c r="C7" s="969"/>
      <c r="D7" s="969"/>
      <c r="E7" s="969"/>
      <c r="F7" s="969"/>
      <c r="G7" s="969"/>
      <c r="H7" s="987" t="s">
        <v>288</v>
      </c>
    </row>
    <row r="8" spans="1:11" ht="40.5" customHeight="1">
      <c r="A8" s="986"/>
      <c r="B8" s="582" t="s">
        <v>294</v>
      </c>
      <c r="C8" s="582">
        <v>1</v>
      </c>
      <c r="D8" s="582">
        <v>2</v>
      </c>
      <c r="E8" s="582">
        <v>3</v>
      </c>
      <c r="F8" s="582" t="s">
        <v>293</v>
      </c>
      <c r="G8" s="583" t="s">
        <v>256</v>
      </c>
      <c r="H8" s="988"/>
    </row>
    <row r="9" spans="1:11" ht="17.25" customHeight="1" thickBot="1">
      <c r="A9" s="285" t="s">
        <v>751</v>
      </c>
      <c r="B9" s="606">
        <v>59</v>
      </c>
      <c r="C9" s="606">
        <v>0</v>
      </c>
      <c r="D9" s="606">
        <v>0</v>
      </c>
      <c r="E9" s="606">
        <v>0</v>
      </c>
      <c r="F9" s="606">
        <v>0</v>
      </c>
      <c r="G9" s="606">
        <f>SUM(B9:F9)</f>
        <v>59</v>
      </c>
      <c r="H9" s="286" t="s">
        <v>751</v>
      </c>
    </row>
    <row r="10" spans="1:11" ht="17.25" customHeight="1" thickBot="1">
      <c r="A10" s="271" t="s">
        <v>269</v>
      </c>
      <c r="B10" s="602">
        <v>976</v>
      </c>
      <c r="C10" s="602">
        <v>8</v>
      </c>
      <c r="D10" s="602">
        <v>0</v>
      </c>
      <c r="E10" s="602">
        <v>0</v>
      </c>
      <c r="F10" s="602">
        <v>0</v>
      </c>
      <c r="G10" s="606">
        <f t="shared" ref="G10:G22" si="0">SUM(B10:F10)</f>
        <v>984</v>
      </c>
      <c r="H10" s="272" t="s">
        <v>269</v>
      </c>
    </row>
    <row r="11" spans="1:11" ht="17.25" customHeight="1" thickBot="1">
      <c r="A11" s="271" t="s">
        <v>268</v>
      </c>
      <c r="B11" s="602">
        <v>1344</v>
      </c>
      <c r="C11" s="602">
        <v>33</v>
      </c>
      <c r="D11" s="602">
        <v>1</v>
      </c>
      <c r="E11" s="602">
        <v>0</v>
      </c>
      <c r="F11" s="602">
        <v>0</v>
      </c>
      <c r="G11" s="606">
        <f t="shared" si="0"/>
        <v>1378</v>
      </c>
      <c r="H11" s="272" t="s">
        <v>268</v>
      </c>
    </row>
    <row r="12" spans="1:11" ht="17.25" customHeight="1" thickBot="1">
      <c r="A12" s="271" t="s">
        <v>267</v>
      </c>
      <c r="B12" s="602">
        <v>609</v>
      </c>
      <c r="C12" s="602">
        <v>59</v>
      </c>
      <c r="D12" s="602">
        <v>0</v>
      </c>
      <c r="E12" s="602">
        <v>0</v>
      </c>
      <c r="F12" s="602">
        <v>0</v>
      </c>
      <c r="G12" s="606">
        <f t="shared" si="0"/>
        <v>668</v>
      </c>
      <c r="H12" s="272" t="s">
        <v>267</v>
      </c>
    </row>
    <row r="13" spans="1:11" ht="17.25" customHeight="1" thickBot="1">
      <c r="A13" s="271" t="s">
        <v>266</v>
      </c>
      <c r="B13" s="602">
        <v>216</v>
      </c>
      <c r="C13" s="602">
        <v>54</v>
      </c>
      <c r="D13" s="602">
        <v>5</v>
      </c>
      <c r="E13" s="602">
        <v>1</v>
      </c>
      <c r="F13" s="602">
        <v>0</v>
      </c>
      <c r="G13" s="606">
        <f t="shared" si="0"/>
        <v>276</v>
      </c>
      <c r="H13" s="272" t="s">
        <v>266</v>
      </c>
    </row>
    <row r="14" spans="1:11" ht="17.25" customHeight="1" thickBot="1">
      <c r="A14" s="271" t="s">
        <v>265</v>
      </c>
      <c r="B14" s="602">
        <v>73</v>
      </c>
      <c r="C14" s="602">
        <v>46</v>
      </c>
      <c r="D14" s="602">
        <v>2</v>
      </c>
      <c r="E14" s="602">
        <v>0</v>
      </c>
      <c r="F14" s="602">
        <v>0</v>
      </c>
      <c r="G14" s="606">
        <f t="shared" si="0"/>
        <v>121</v>
      </c>
      <c r="H14" s="272" t="s">
        <v>265</v>
      </c>
    </row>
    <row r="15" spans="1:11" ht="17.25" customHeight="1" thickBot="1">
      <c r="A15" s="271" t="s">
        <v>264</v>
      </c>
      <c r="B15" s="602">
        <v>60</v>
      </c>
      <c r="C15" s="602">
        <v>53</v>
      </c>
      <c r="D15" s="602">
        <v>2</v>
      </c>
      <c r="E15" s="602">
        <v>2</v>
      </c>
      <c r="F15" s="602">
        <v>0</v>
      </c>
      <c r="G15" s="606">
        <f t="shared" si="0"/>
        <v>117</v>
      </c>
      <c r="H15" s="272" t="s">
        <v>264</v>
      </c>
    </row>
    <row r="16" spans="1:11" ht="17.25" customHeight="1" thickBot="1">
      <c r="A16" s="271" t="s">
        <v>263</v>
      </c>
      <c r="B16" s="602">
        <v>32</v>
      </c>
      <c r="C16" s="602">
        <v>30</v>
      </c>
      <c r="D16" s="602">
        <v>4</v>
      </c>
      <c r="E16" s="602">
        <v>0</v>
      </c>
      <c r="F16" s="602">
        <v>0</v>
      </c>
      <c r="G16" s="606">
        <f t="shared" si="0"/>
        <v>66</v>
      </c>
      <c r="H16" s="272" t="s">
        <v>263</v>
      </c>
    </row>
    <row r="17" spans="1:8" ht="17.25" customHeight="1" thickBot="1">
      <c r="A17" s="271" t="s">
        <v>262</v>
      </c>
      <c r="B17" s="602">
        <v>12</v>
      </c>
      <c r="C17" s="602">
        <v>14</v>
      </c>
      <c r="D17" s="602">
        <v>2</v>
      </c>
      <c r="E17" s="602">
        <v>0</v>
      </c>
      <c r="F17" s="602">
        <v>0</v>
      </c>
      <c r="G17" s="606">
        <f t="shared" si="0"/>
        <v>28</v>
      </c>
      <c r="H17" s="272" t="s">
        <v>262</v>
      </c>
    </row>
    <row r="18" spans="1:8" ht="17.25" customHeight="1" thickBot="1">
      <c r="A18" s="271" t="s">
        <v>261</v>
      </c>
      <c r="B18" s="602">
        <v>7</v>
      </c>
      <c r="C18" s="602">
        <v>3</v>
      </c>
      <c r="D18" s="602">
        <v>1</v>
      </c>
      <c r="E18" s="602">
        <v>0</v>
      </c>
      <c r="F18" s="602">
        <v>0</v>
      </c>
      <c r="G18" s="606">
        <f t="shared" si="0"/>
        <v>11</v>
      </c>
      <c r="H18" s="272" t="s">
        <v>261</v>
      </c>
    </row>
    <row r="19" spans="1:8" ht="17.25" customHeight="1" thickBot="1">
      <c r="A19" s="271" t="s">
        <v>260</v>
      </c>
      <c r="B19" s="602">
        <v>6</v>
      </c>
      <c r="C19" s="602">
        <v>2</v>
      </c>
      <c r="D19" s="602">
        <v>0</v>
      </c>
      <c r="E19" s="602">
        <v>0</v>
      </c>
      <c r="F19" s="602">
        <v>0</v>
      </c>
      <c r="G19" s="606">
        <f t="shared" si="0"/>
        <v>8</v>
      </c>
      <c r="H19" s="272" t="s">
        <v>260</v>
      </c>
    </row>
    <row r="20" spans="1:8" ht="17.25" customHeight="1" thickBot="1">
      <c r="A20" s="271" t="s">
        <v>259</v>
      </c>
      <c r="B20" s="602">
        <v>1</v>
      </c>
      <c r="C20" s="602">
        <v>4</v>
      </c>
      <c r="D20" s="602">
        <v>1</v>
      </c>
      <c r="E20" s="602">
        <v>0</v>
      </c>
      <c r="F20" s="602">
        <v>0</v>
      </c>
      <c r="G20" s="606">
        <f t="shared" si="0"/>
        <v>6</v>
      </c>
      <c r="H20" s="272" t="s">
        <v>259</v>
      </c>
    </row>
    <row r="21" spans="1:8" ht="17.25" customHeight="1" thickBot="1">
      <c r="A21" s="271" t="s">
        <v>258</v>
      </c>
      <c r="B21" s="602">
        <v>2</v>
      </c>
      <c r="C21" s="602">
        <v>0</v>
      </c>
      <c r="D21" s="602">
        <v>0</v>
      </c>
      <c r="E21" s="602">
        <v>0</v>
      </c>
      <c r="F21" s="602">
        <v>0</v>
      </c>
      <c r="G21" s="606">
        <f t="shared" si="0"/>
        <v>2</v>
      </c>
      <c r="H21" s="272" t="s">
        <v>258</v>
      </c>
    </row>
    <row r="22" spans="1:8" ht="17.25" customHeight="1">
      <c r="A22" s="289" t="s">
        <v>19</v>
      </c>
      <c r="B22" s="604">
        <v>0</v>
      </c>
      <c r="C22" s="604">
        <v>0</v>
      </c>
      <c r="D22" s="604">
        <v>0</v>
      </c>
      <c r="E22" s="604">
        <v>0</v>
      </c>
      <c r="F22" s="604">
        <v>0</v>
      </c>
      <c r="G22" s="776">
        <f t="shared" si="0"/>
        <v>0</v>
      </c>
      <c r="H22" s="290" t="s">
        <v>20</v>
      </c>
    </row>
    <row r="23" spans="1:8" ht="21.95" customHeight="1" thickBot="1">
      <c r="A23" s="741" t="s">
        <v>21</v>
      </c>
      <c r="B23" s="742">
        <f>SUBTOTAL(109,Table_Default__XLS_TAB_12_3[NO_WIFE_0])</f>
        <v>3397</v>
      </c>
      <c r="C23" s="742">
        <f>SUBTOTAL(109,Table_Default__XLS_TAB_12_3[NO_WIFE_1])</f>
        <v>306</v>
      </c>
      <c r="D23" s="742">
        <f>SUBTOTAL(109,Table_Default__XLS_TAB_12_3[NO_WIFE_2])</f>
        <v>18</v>
      </c>
      <c r="E23" s="742">
        <f>SUBTOTAL(109,Table_Default__XLS_TAB_12_3[NO_WIFE_3])</f>
        <v>3</v>
      </c>
      <c r="F23" s="743">
        <f>SUBTOTAL(109,Table_Default__XLS_TAB_12_3[NO_WIFE_NOT_STATED])</f>
        <v>0</v>
      </c>
      <c r="G23" s="742">
        <f>SUBTOTAL(109,Table_Default__XLS_TAB_12_3[TOTAL])</f>
        <v>3724</v>
      </c>
      <c r="H23" s="744" t="s">
        <v>176</v>
      </c>
    </row>
    <row r="24" spans="1:8" ht="15.75">
      <c r="A24" s="178" t="s">
        <v>292</v>
      </c>
      <c r="B24" s="607">
        <f>B23/$G$23%</f>
        <v>91.219119226638014</v>
      </c>
      <c r="C24" s="607">
        <f>C23/$G$23%</f>
        <v>8.2169709989258859</v>
      </c>
      <c r="D24" s="607">
        <f>D23/$G$23%</f>
        <v>0.48335123523093443</v>
      </c>
      <c r="E24" s="607">
        <f>E23/$G$23%</f>
        <v>8.0558539205155738E-2</v>
      </c>
      <c r="F24" s="607">
        <f>F23/$G$23%</f>
        <v>0</v>
      </c>
      <c r="G24" s="607">
        <f>SUM(B24:F24)</f>
        <v>100</v>
      </c>
      <c r="H24" s="179" t="s">
        <v>24</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rightToLeft="1" view="pageBreakPreview" zoomScaleNormal="100" zoomScaleSheetLayoutView="100" workbookViewId="0">
      <selection activeCell="A3" sqref="A3:H3"/>
    </sheetView>
  </sheetViews>
  <sheetFormatPr defaultColWidth="9.140625" defaultRowHeight="12.75"/>
  <cols>
    <col min="1" max="1" width="26.7109375" style="1" customWidth="1"/>
    <col min="2" max="2" width="16" style="1" customWidth="1"/>
    <col min="3" max="3" width="11.7109375" style="1" customWidth="1"/>
    <col min="4" max="4" width="12.85546875" style="1" customWidth="1"/>
    <col min="5" max="5" width="12.7109375" style="1" customWidth="1"/>
    <col min="6" max="6" width="15.5703125" style="1" customWidth="1"/>
    <col min="7" max="7" width="9.42578125" style="1" customWidth="1"/>
    <col min="8" max="8" width="26.7109375" style="1" customWidth="1"/>
    <col min="9" max="16384" width="9.140625" style="1"/>
  </cols>
  <sheetData>
    <row r="1" spans="1:12" s="2" customFormat="1" ht="21.75" customHeight="1">
      <c r="A1" s="934" t="s">
        <v>318</v>
      </c>
      <c r="B1" s="934"/>
      <c r="C1" s="994"/>
      <c r="D1" s="934"/>
      <c r="E1" s="934"/>
      <c r="F1" s="934"/>
      <c r="G1" s="934"/>
      <c r="H1" s="934"/>
    </row>
    <row r="2" spans="1:12" s="2" customFormat="1" ht="15.75">
      <c r="A2" s="958" t="s">
        <v>317</v>
      </c>
      <c r="B2" s="958"/>
      <c r="C2" s="958"/>
      <c r="D2" s="958"/>
      <c r="E2" s="958"/>
      <c r="F2" s="958"/>
      <c r="G2" s="958"/>
      <c r="H2" s="958"/>
    </row>
    <row r="3" spans="1:12" s="2" customFormat="1" ht="18" customHeight="1">
      <c r="A3" s="959">
        <v>2015</v>
      </c>
      <c r="B3" s="959"/>
      <c r="C3" s="959"/>
      <c r="D3" s="959"/>
      <c r="E3" s="959"/>
      <c r="F3" s="959"/>
      <c r="G3" s="959"/>
      <c r="H3" s="959"/>
      <c r="I3" s="125"/>
      <c r="J3" s="125"/>
      <c r="K3" s="125"/>
      <c r="L3" s="125"/>
    </row>
    <row r="4" spans="1:12" s="2" customFormat="1" ht="15.75">
      <c r="A4" s="959" t="s">
        <v>173</v>
      </c>
      <c r="B4" s="959"/>
      <c r="C4" s="959"/>
      <c r="D4" s="959"/>
      <c r="E4" s="959"/>
      <c r="F4" s="959"/>
      <c r="G4" s="959"/>
      <c r="H4" s="959"/>
    </row>
    <row r="5" spans="1:12" s="2" customFormat="1" ht="15.75">
      <c r="A5" s="635"/>
      <c r="B5" s="635"/>
      <c r="C5" s="635"/>
      <c r="D5" s="635"/>
      <c r="E5" s="635"/>
      <c r="F5" s="635"/>
      <c r="G5" s="635"/>
      <c r="H5" s="635"/>
    </row>
    <row r="6" spans="1:12" s="93" customFormat="1" ht="15.75">
      <c r="A6" s="648" t="s">
        <v>329</v>
      </c>
      <c r="B6" s="649"/>
      <c r="C6" s="649"/>
      <c r="D6" s="649"/>
      <c r="E6" s="649"/>
      <c r="F6" s="649"/>
      <c r="G6" s="649"/>
      <c r="H6" s="650" t="s">
        <v>328</v>
      </c>
    </row>
    <row r="7" spans="1:12" ht="26.25" customHeight="1" thickBot="1">
      <c r="A7" s="985" t="s">
        <v>314</v>
      </c>
      <c r="B7" s="969" t="s">
        <v>313</v>
      </c>
      <c r="C7" s="969"/>
      <c r="D7" s="969"/>
      <c r="E7" s="969"/>
      <c r="F7" s="969"/>
      <c r="G7" s="969"/>
      <c r="H7" s="987" t="s">
        <v>312</v>
      </c>
    </row>
    <row r="8" spans="1:12" ht="44.25" customHeight="1">
      <c r="A8" s="986"/>
      <c r="B8" s="582" t="s">
        <v>980</v>
      </c>
      <c r="C8" s="582" t="s">
        <v>981</v>
      </c>
      <c r="D8" s="582" t="s">
        <v>982</v>
      </c>
      <c r="E8" s="582" t="s">
        <v>983</v>
      </c>
      <c r="F8" s="582" t="s">
        <v>293</v>
      </c>
      <c r="G8" s="583" t="s">
        <v>256</v>
      </c>
      <c r="H8" s="988"/>
    </row>
    <row r="9" spans="1:12" ht="16.5" thickBot="1">
      <c r="A9" s="291" t="s">
        <v>751</v>
      </c>
      <c r="B9" s="606">
        <v>45</v>
      </c>
      <c r="C9" s="606">
        <v>0</v>
      </c>
      <c r="D9" s="606">
        <v>0</v>
      </c>
      <c r="E9" s="606">
        <v>0</v>
      </c>
      <c r="F9" s="606">
        <v>0</v>
      </c>
      <c r="G9" s="606">
        <f>SUM(B9:F9)</f>
        <v>45</v>
      </c>
      <c r="H9" s="292" t="s">
        <v>751</v>
      </c>
    </row>
    <row r="10" spans="1:12" ht="16.5" thickBot="1">
      <c r="A10" s="281" t="s">
        <v>269</v>
      </c>
      <c r="B10" s="602">
        <v>642</v>
      </c>
      <c r="C10" s="602">
        <v>8</v>
      </c>
      <c r="D10" s="602">
        <v>44</v>
      </c>
      <c r="E10" s="602">
        <v>0</v>
      </c>
      <c r="F10" s="602">
        <v>0</v>
      </c>
      <c r="G10" s="606">
        <f t="shared" ref="G10:G22" si="0">SUM(B10:F10)</f>
        <v>694</v>
      </c>
      <c r="H10" s="282" t="s">
        <v>269</v>
      </c>
    </row>
    <row r="11" spans="1:12" ht="16.5" thickBot="1">
      <c r="A11" s="281" t="s">
        <v>268</v>
      </c>
      <c r="B11" s="602">
        <v>603</v>
      </c>
      <c r="C11" s="602">
        <v>23</v>
      </c>
      <c r="D11" s="602">
        <v>127</v>
      </c>
      <c r="E11" s="602">
        <v>0</v>
      </c>
      <c r="F11" s="602">
        <v>0</v>
      </c>
      <c r="G11" s="606">
        <f t="shared" si="0"/>
        <v>753</v>
      </c>
      <c r="H11" s="282" t="s">
        <v>268</v>
      </c>
    </row>
    <row r="12" spans="1:12" ht="16.5" thickBot="1">
      <c r="A12" s="281" t="s">
        <v>267</v>
      </c>
      <c r="B12" s="602">
        <v>150</v>
      </c>
      <c r="C12" s="602">
        <v>21</v>
      </c>
      <c r="D12" s="602">
        <v>88</v>
      </c>
      <c r="E12" s="602">
        <v>1</v>
      </c>
      <c r="F12" s="602">
        <v>0</v>
      </c>
      <c r="G12" s="606">
        <f t="shared" si="0"/>
        <v>260</v>
      </c>
      <c r="H12" s="282" t="s">
        <v>267</v>
      </c>
    </row>
    <row r="13" spans="1:12" ht="16.5" thickBot="1">
      <c r="A13" s="281" t="s">
        <v>266</v>
      </c>
      <c r="B13" s="602">
        <v>42</v>
      </c>
      <c r="C13" s="602">
        <v>28</v>
      </c>
      <c r="D13" s="602">
        <v>49</v>
      </c>
      <c r="E13" s="602">
        <v>1</v>
      </c>
      <c r="F13" s="602">
        <v>0</v>
      </c>
      <c r="G13" s="606">
        <f t="shared" si="0"/>
        <v>120</v>
      </c>
      <c r="H13" s="282" t="s">
        <v>266</v>
      </c>
    </row>
    <row r="14" spans="1:12" ht="16.5" thickBot="1">
      <c r="A14" s="281" t="s">
        <v>265</v>
      </c>
      <c r="B14" s="602">
        <v>6</v>
      </c>
      <c r="C14" s="602">
        <v>29</v>
      </c>
      <c r="D14" s="602">
        <v>31</v>
      </c>
      <c r="E14" s="602">
        <v>2</v>
      </c>
      <c r="F14" s="602">
        <v>0</v>
      </c>
      <c r="G14" s="606">
        <f t="shared" si="0"/>
        <v>68</v>
      </c>
      <c r="H14" s="282" t="s">
        <v>265</v>
      </c>
    </row>
    <row r="15" spans="1:12" ht="16.5" thickBot="1">
      <c r="A15" s="281" t="s">
        <v>264</v>
      </c>
      <c r="B15" s="602">
        <v>6</v>
      </c>
      <c r="C15" s="602">
        <v>30</v>
      </c>
      <c r="D15" s="602">
        <v>20</v>
      </c>
      <c r="E15" s="602">
        <v>3</v>
      </c>
      <c r="F15" s="602">
        <v>0</v>
      </c>
      <c r="G15" s="606">
        <f t="shared" si="0"/>
        <v>59</v>
      </c>
      <c r="H15" s="282" t="s">
        <v>264</v>
      </c>
    </row>
    <row r="16" spans="1:12" ht="16.5" thickBot="1">
      <c r="A16" s="281" t="s">
        <v>263</v>
      </c>
      <c r="B16" s="602">
        <v>4</v>
      </c>
      <c r="C16" s="602">
        <v>24</v>
      </c>
      <c r="D16" s="602">
        <v>13</v>
      </c>
      <c r="E16" s="602">
        <v>0</v>
      </c>
      <c r="F16" s="602">
        <v>0</v>
      </c>
      <c r="G16" s="606">
        <f t="shared" si="0"/>
        <v>41</v>
      </c>
      <c r="H16" s="282" t="s">
        <v>263</v>
      </c>
    </row>
    <row r="17" spans="1:8" ht="16.5" thickBot="1">
      <c r="A17" s="281" t="s">
        <v>262</v>
      </c>
      <c r="B17" s="602">
        <v>1</v>
      </c>
      <c r="C17" s="602">
        <v>9</v>
      </c>
      <c r="D17" s="602">
        <v>4</v>
      </c>
      <c r="E17" s="602">
        <v>3</v>
      </c>
      <c r="F17" s="602">
        <v>0</v>
      </c>
      <c r="G17" s="606">
        <f t="shared" si="0"/>
        <v>17</v>
      </c>
      <c r="H17" s="282" t="s">
        <v>262</v>
      </c>
    </row>
    <row r="18" spans="1:8" ht="16.5" thickBot="1">
      <c r="A18" s="281" t="s">
        <v>261</v>
      </c>
      <c r="B18" s="602">
        <v>1</v>
      </c>
      <c r="C18" s="602">
        <v>1</v>
      </c>
      <c r="D18" s="602">
        <v>2</v>
      </c>
      <c r="E18" s="602">
        <v>0</v>
      </c>
      <c r="F18" s="602">
        <v>0</v>
      </c>
      <c r="G18" s="606">
        <f t="shared" si="0"/>
        <v>4</v>
      </c>
      <c r="H18" s="282" t="s">
        <v>261</v>
      </c>
    </row>
    <row r="19" spans="1:8" ht="16.5" thickBot="1">
      <c r="A19" s="281" t="s">
        <v>260</v>
      </c>
      <c r="B19" s="602">
        <v>0</v>
      </c>
      <c r="C19" s="602">
        <v>1</v>
      </c>
      <c r="D19" s="602">
        <v>1</v>
      </c>
      <c r="E19" s="602">
        <v>1</v>
      </c>
      <c r="F19" s="602">
        <v>0</v>
      </c>
      <c r="G19" s="606">
        <f t="shared" si="0"/>
        <v>3</v>
      </c>
      <c r="H19" s="282" t="s">
        <v>260</v>
      </c>
    </row>
    <row r="20" spans="1:8" ht="16.5" thickBot="1">
      <c r="A20" s="281" t="s">
        <v>259</v>
      </c>
      <c r="B20" s="602">
        <v>0</v>
      </c>
      <c r="C20" s="602">
        <v>4</v>
      </c>
      <c r="D20" s="602">
        <v>0</v>
      </c>
      <c r="E20" s="602">
        <v>0</v>
      </c>
      <c r="F20" s="602">
        <v>0</v>
      </c>
      <c r="G20" s="606">
        <f t="shared" si="0"/>
        <v>4</v>
      </c>
      <c r="H20" s="282" t="s">
        <v>259</v>
      </c>
    </row>
    <row r="21" spans="1:8" ht="16.5" thickBot="1">
      <c r="A21" s="281" t="s">
        <v>258</v>
      </c>
      <c r="B21" s="602">
        <v>0</v>
      </c>
      <c r="C21" s="602">
        <v>0</v>
      </c>
      <c r="D21" s="602">
        <v>1</v>
      </c>
      <c r="E21" s="602">
        <v>0</v>
      </c>
      <c r="F21" s="602">
        <v>0</v>
      </c>
      <c r="G21" s="606">
        <f t="shared" si="0"/>
        <v>1</v>
      </c>
      <c r="H21" s="282" t="s">
        <v>258</v>
      </c>
    </row>
    <row r="22" spans="1:8" ht="15.75">
      <c r="A22" s="283" t="s">
        <v>19</v>
      </c>
      <c r="B22" s="604">
        <v>0</v>
      </c>
      <c r="C22" s="604">
        <v>0</v>
      </c>
      <c r="D22" s="604">
        <v>0</v>
      </c>
      <c r="E22" s="604">
        <v>0</v>
      </c>
      <c r="F22" s="604">
        <v>0</v>
      </c>
      <c r="G22" s="776">
        <f t="shared" si="0"/>
        <v>0</v>
      </c>
      <c r="H22" s="284" t="s">
        <v>20</v>
      </c>
    </row>
    <row r="23" spans="1:8" ht="21.95" customHeight="1" thickBot="1">
      <c r="A23" s="741" t="s">
        <v>21</v>
      </c>
      <c r="B23" s="742">
        <f>SUBTOTAL(109,Table_Default__XLS_TAB_13_1[NEVER_MARR])</f>
        <v>1500</v>
      </c>
      <c r="C23" s="742">
        <f>SUBTOTAL(109,Table_Default__XLS_TAB_13_1[MARRIED])</f>
        <v>178</v>
      </c>
      <c r="D23" s="742">
        <f>SUBTOTAL(109,Table_Default__XLS_TAB_13_1[DIVORCES])</f>
        <v>380</v>
      </c>
      <c r="E23" s="742">
        <f>SUBTOTAL(109,Table_Default__XLS_TAB_13_1[WIDOWED])</f>
        <v>11</v>
      </c>
      <c r="F23" s="743">
        <f>SUBTOTAL(109,Table_Default__XLS_TAB_13_1[NOT_STATED])</f>
        <v>0</v>
      </c>
      <c r="G23" s="742">
        <f>SUBTOTAL(109,Table_Default__XLS_TAB_13_1[TOTAL])</f>
        <v>2069</v>
      </c>
      <c r="H23" s="744" t="s">
        <v>176</v>
      </c>
    </row>
    <row r="24" spans="1:8" ht="15.75">
      <c r="A24" s="293" t="s">
        <v>292</v>
      </c>
      <c r="B24" s="608">
        <f>B23/$G$23%</f>
        <v>72.49879168680522</v>
      </c>
      <c r="C24" s="608">
        <f>C23/$G$23%</f>
        <v>8.6031899468342186</v>
      </c>
      <c r="D24" s="608">
        <f>D23/$G$23%</f>
        <v>18.36636056065732</v>
      </c>
      <c r="E24" s="608">
        <f>E23/$G$23%</f>
        <v>0.53165780570323828</v>
      </c>
      <c r="F24" s="608">
        <f>F23/$G$23%</f>
        <v>0</v>
      </c>
      <c r="G24" s="608">
        <f>SUM(B24:F24)</f>
        <v>99.999999999999986</v>
      </c>
      <c r="H24" s="294" t="s">
        <v>24</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rightToLeft="1" view="pageBreakPreview" zoomScaleNormal="100" zoomScaleSheetLayoutView="100" workbookViewId="0">
      <selection activeCell="A3" sqref="A3:H3"/>
    </sheetView>
  </sheetViews>
  <sheetFormatPr defaultColWidth="9.140625" defaultRowHeight="12.75"/>
  <cols>
    <col min="1" max="1" width="26.7109375" style="1" customWidth="1"/>
    <col min="2" max="2" width="16" style="1" customWidth="1"/>
    <col min="3" max="3" width="11.7109375" style="1" customWidth="1"/>
    <col min="4" max="4" width="12.85546875" style="1" customWidth="1"/>
    <col min="5" max="5" width="12.7109375" style="1" customWidth="1"/>
    <col min="6" max="6" width="15.5703125" style="1" customWidth="1"/>
    <col min="7" max="7" width="9.42578125" style="1" customWidth="1"/>
    <col min="8" max="8" width="26.7109375" style="1" customWidth="1"/>
    <col min="9" max="16384" width="9.140625" style="1"/>
  </cols>
  <sheetData>
    <row r="1" spans="1:12" s="2" customFormat="1" ht="21.75" customHeight="1">
      <c r="A1" s="934" t="s">
        <v>318</v>
      </c>
      <c r="B1" s="934"/>
      <c r="C1" s="994"/>
      <c r="D1" s="934"/>
      <c r="E1" s="934"/>
      <c r="F1" s="934"/>
      <c r="G1" s="934"/>
      <c r="H1" s="934"/>
    </row>
    <row r="2" spans="1:12" s="2" customFormat="1" ht="15.75">
      <c r="A2" s="958" t="s">
        <v>317</v>
      </c>
      <c r="B2" s="958"/>
      <c r="C2" s="958"/>
      <c r="D2" s="958"/>
      <c r="E2" s="958"/>
      <c r="F2" s="958"/>
      <c r="G2" s="958"/>
      <c r="H2" s="958"/>
    </row>
    <row r="3" spans="1:12" s="2" customFormat="1" ht="18" customHeight="1">
      <c r="A3" s="959">
        <v>2015</v>
      </c>
      <c r="B3" s="959"/>
      <c r="C3" s="959"/>
      <c r="D3" s="959"/>
      <c r="E3" s="959"/>
      <c r="F3" s="959"/>
      <c r="G3" s="959"/>
      <c r="H3" s="959"/>
      <c r="I3" s="125"/>
      <c r="J3" s="125"/>
      <c r="K3" s="125"/>
      <c r="L3" s="125"/>
    </row>
    <row r="4" spans="1:12" s="2" customFormat="1" ht="15.75">
      <c r="A4" s="959" t="s">
        <v>172</v>
      </c>
      <c r="B4" s="959"/>
      <c r="C4" s="959"/>
      <c r="D4" s="959"/>
      <c r="E4" s="959"/>
      <c r="F4" s="959"/>
      <c r="G4" s="959"/>
      <c r="H4" s="959"/>
    </row>
    <row r="5" spans="1:12" s="2" customFormat="1" ht="15.75">
      <c r="A5" s="635"/>
      <c r="B5" s="635"/>
      <c r="C5" s="635"/>
      <c r="D5" s="635"/>
      <c r="E5" s="635"/>
      <c r="F5" s="635"/>
      <c r="G5" s="635"/>
      <c r="H5" s="635"/>
    </row>
    <row r="6" spans="1:12" s="93" customFormat="1" ht="15.75">
      <c r="A6" s="648" t="s">
        <v>334</v>
      </c>
      <c r="B6" s="649"/>
      <c r="C6" s="649"/>
      <c r="D6" s="649"/>
      <c r="E6" s="649"/>
      <c r="F6" s="649"/>
      <c r="G6" s="649"/>
      <c r="H6" s="650" t="s">
        <v>333</v>
      </c>
    </row>
    <row r="7" spans="1:12" ht="26.25" customHeight="1" thickBot="1">
      <c r="A7" s="985" t="s">
        <v>314</v>
      </c>
      <c r="B7" s="969" t="s">
        <v>313</v>
      </c>
      <c r="C7" s="969"/>
      <c r="D7" s="969"/>
      <c r="E7" s="969"/>
      <c r="F7" s="969"/>
      <c r="G7" s="969"/>
      <c r="H7" s="987" t="s">
        <v>312</v>
      </c>
    </row>
    <row r="8" spans="1:12" ht="44.25" customHeight="1">
      <c r="A8" s="986"/>
      <c r="B8" s="582" t="s">
        <v>980</v>
      </c>
      <c r="C8" s="582" t="s">
        <v>981</v>
      </c>
      <c r="D8" s="582" t="s">
        <v>982</v>
      </c>
      <c r="E8" s="582" t="s">
        <v>983</v>
      </c>
      <c r="F8" s="582" t="s">
        <v>293</v>
      </c>
      <c r="G8" s="583" t="s">
        <v>256</v>
      </c>
      <c r="H8" s="988"/>
    </row>
    <row r="9" spans="1:12" ht="16.5" thickBot="1">
      <c r="A9" s="279" t="s">
        <v>751</v>
      </c>
      <c r="B9" s="600">
        <v>14</v>
      </c>
      <c r="C9" s="600">
        <v>0</v>
      </c>
      <c r="D9" s="600">
        <v>0</v>
      </c>
      <c r="E9" s="600">
        <v>0</v>
      </c>
      <c r="F9" s="600">
        <v>0</v>
      </c>
      <c r="G9" s="600">
        <f>SUM(B9:F9)</f>
        <v>14</v>
      </c>
      <c r="H9" s="280" t="s">
        <v>751</v>
      </c>
    </row>
    <row r="10" spans="1:12" ht="16.5" thickBot="1">
      <c r="A10" s="281" t="s">
        <v>269</v>
      </c>
      <c r="B10" s="602">
        <v>287</v>
      </c>
      <c r="C10" s="602">
        <v>0</v>
      </c>
      <c r="D10" s="602">
        <v>3</v>
      </c>
      <c r="E10" s="602">
        <v>0</v>
      </c>
      <c r="F10" s="602">
        <v>0</v>
      </c>
      <c r="G10" s="600">
        <f t="shared" ref="G10:G22" si="0">SUM(B10:F10)</f>
        <v>290</v>
      </c>
      <c r="H10" s="282" t="s">
        <v>269</v>
      </c>
    </row>
    <row r="11" spans="1:12" ht="16.5" thickBot="1">
      <c r="A11" s="281" t="s">
        <v>268</v>
      </c>
      <c r="B11" s="602">
        <v>577</v>
      </c>
      <c r="C11" s="602">
        <v>11</v>
      </c>
      <c r="D11" s="602">
        <v>37</v>
      </c>
      <c r="E11" s="602">
        <v>0</v>
      </c>
      <c r="F11" s="602">
        <v>0</v>
      </c>
      <c r="G11" s="600">
        <f t="shared" si="0"/>
        <v>625</v>
      </c>
      <c r="H11" s="282" t="s">
        <v>268</v>
      </c>
    </row>
    <row r="12" spans="1:12" ht="16.5" thickBot="1">
      <c r="A12" s="281" t="s">
        <v>267</v>
      </c>
      <c r="B12" s="602">
        <v>309</v>
      </c>
      <c r="C12" s="602">
        <v>38</v>
      </c>
      <c r="D12" s="602">
        <v>60</v>
      </c>
      <c r="E12" s="602">
        <v>1</v>
      </c>
      <c r="F12" s="602">
        <v>0</v>
      </c>
      <c r="G12" s="600">
        <f t="shared" si="0"/>
        <v>408</v>
      </c>
      <c r="H12" s="282" t="s">
        <v>267</v>
      </c>
    </row>
    <row r="13" spans="1:12" ht="16.5" thickBot="1">
      <c r="A13" s="281" t="s">
        <v>266</v>
      </c>
      <c r="B13" s="602">
        <v>75</v>
      </c>
      <c r="C13" s="602">
        <v>32</v>
      </c>
      <c r="D13" s="602">
        <v>45</v>
      </c>
      <c r="E13" s="602">
        <v>4</v>
      </c>
      <c r="F13" s="602">
        <v>0</v>
      </c>
      <c r="G13" s="600">
        <f t="shared" si="0"/>
        <v>156</v>
      </c>
      <c r="H13" s="282" t="s">
        <v>266</v>
      </c>
    </row>
    <row r="14" spans="1:12" ht="16.5" thickBot="1">
      <c r="A14" s="281" t="s">
        <v>265</v>
      </c>
      <c r="B14" s="602">
        <v>20</v>
      </c>
      <c r="C14" s="602">
        <v>19</v>
      </c>
      <c r="D14" s="602">
        <v>13</v>
      </c>
      <c r="E14" s="602">
        <v>1</v>
      </c>
      <c r="F14" s="602">
        <v>0</v>
      </c>
      <c r="G14" s="600">
        <f t="shared" si="0"/>
        <v>53</v>
      </c>
      <c r="H14" s="282" t="s">
        <v>265</v>
      </c>
    </row>
    <row r="15" spans="1:12" ht="16.5" thickBot="1">
      <c r="A15" s="281" t="s">
        <v>264</v>
      </c>
      <c r="B15" s="602">
        <v>5</v>
      </c>
      <c r="C15" s="602">
        <v>27</v>
      </c>
      <c r="D15" s="602">
        <v>25</v>
      </c>
      <c r="E15" s="602">
        <v>1</v>
      </c>
      <c r="F15" s="602">
        <v>0</v>
      </c>
      <c r="G15" s="600">
        <f t="shared" si="0"/>
        <v>58</v>
      </c>
      <c r="H15" s="282" t="s">
        <v>264</v>
      </c>
    </row>
    <row r="16" spans="1:12" ht="16.5" thickBot="1">
      <c r="A16" s="281" t="s">
        <v>263</v>
      </c>
      <c r="B16" s="602">
        <v>1</v>
      </c>
      <c r="C16" s="602">
        <v>10</v>
      </c>
      <c r="D16" s="602">
        <v>12</v>
      </c>
      <c r="E16" s="602">
        <v>2</v>
      </c>
      <c r="F16" s="602">
        <v>0</v>
      </c>
      <c r="G16" s="600">
        <f t="shared" si="0"/>
        <v>25</v>
      </c>
      <c r="H16" s="282" t="s">
        <v>263</v>
      </c>
    </row>
    <row r="17" spans="1:8" ht="16.5" thickBot="1">
      <c r="A17" s="281" t="s">
        <v>262</v>
      </c>
      <c r="B17" s="602">
        <v>0</v>
      </c>
      <c r="C17" s="602">
        <v>7</v>
      </c>
      <c r="D17" s="602">
        <v>4</v>
      </c>
      <c r="E17" s="602">
        <v>0</v>
      </c>
      <c r="F17" s="602">
        <v>0</v>
      </c>
      <c r="G17" s="600">
        <f t="shared" si="0"/>
        <v>11</v>
      </c>
      <c r="H17" s="282" t="s">
        <v>262</v>
      </c>
    </row>
    <row r="18" spans="1:8" ht="16.5" thickBot="1">
      <c r="A18" s="281" t="s">
        <v>261</v>
      </c>
      <c r="B18" s="602">
        <v>2</v>
      </c>
      <c r="C18" s="602">
        <v>3</v>
      </c>
      <c r="D18" s="602">
        <v>1</v>
      </c>
      <c r="E18" s="602">
        <v>1</v>
      </c>
      <c r="F18" s="602">
        <v>0</v>
      </c>
      <c r="G18" s="600">
        <f t="shared" si="0"/>
        <v>7</v>
      </c>
      <c r="H18" s="282" t="s">
        <v>261</v>
      </c>
    </row>
    <row r="19" spans="1:8" ht="16.5" thickBot="1">
      <c r="A19" s="281" t="s">
        <v>260</v>
      </c>
      <c r="B19" s="602">
        <v>0</v>
      </c>
      <c r="C19" s="602">
        <v>1</v>
      </c>
      <c r="D19" s="602">
        <v>2</v>
      </c>
      <c r="E19" s="602">
        <v>2</v>
      </c>
      <c r="F19" s="602">
        <v>0</v>
      </c>
      <c r="G19" s="600">
        <f t="shared" si="0"/>
        <v>5</v>
      </c>
      <c r="H19" s="282" t="s">
        <v>260</v>
      </c>
    </row>
    <row r="20" spans="1:8" ht="16.5" thickBot="1">
      <c r="A20" s="281" t="s">
        <v>259</v>
      </c>
      <c r="B20" s="602">
        <v>0</v>
      </c>
      <c r="C20" s="602">
        <v>1</v>
      </c>
      <c r="D20" s="602">
        <v>0</v>
      </c>
      <c r="E20" s="602">
        <v>1</v>
      </c>
      <c r="F20" s="602">
        <v>0</v>
      </c>
      <c r="G20" s="600">
        <f t="shared" si="0"/>
        <v>2</v>
      </c>
      <c r="H20" s="282" t="s">
        <v>259</v>
      </c>
    </row>
    <row r="21" spans="1:8" ht="16.5" thickBot="1">
      <c r="A21" s="281" t="s">
        <v>258</v>
      </c>
      <c r="B21" s="602">
        <v>0</v>
      </c>
      <c r="C21" s="602">
        <v>0</v>
      </c>
      <c r="D21" s="602">
        <v>0</v>
      </c>
      <c r="E21" s="602">
        <v>1</v>
      </c>
      <c r="F21" s="602">
        <v>0</v>
      </c>
      <c r="G21" s="600">
        <f t="shared" si="0"/>
        <v>1</v>
      </c>
      <c r="H21" s="282" t="s">
        <v>258</v>
      </c>
    </row>
    <row r="22" spans="1:8" ht="15.75">
      <c r="A22" s="283" t="s">
        <v>19</v>
      </c>
      <c r="B22" s="604">
        <v>0</v>
      </c>
      <c r="C22" s="604">
        <v>0</v>
      </c>
      <c r="D22" s="604">
        <v>0</v>
      </c>
      <c r="E22" s="604">
        <v>0</v>
      </c>
      <c r="F22" s="604">
        <v>0</v>
      </c>
      <c r="G22" s="774">
        <f t="shared" si="0"/>
        <v>0</v>
      </c>
      <c r="H22" s="284" t="s">
        <v>20</v>
      </c>
    </row>
    <row r="23" spans="1:8" ht="21.95" customHeight="1" thickBot="1">
      <c r="A23" s="741" t="s">
        <v>21</v>
      </c>
      <c r="B23" s="742">
        <f>SUBTOTAL(109,Table_Default__XLS_TAB_13_2[NEVER_MARR])</f>
        <v>1290</v>
      </c>
      <c r="C23" s="742">
        <f>SUBTOTAL(109,Table_Default__XLS_TAB_13_2[MARRIED])</f>
        <v>149</v>
      </c>
      <c r="D23" s="742">
        <f>SUBTOTAL(109,Table_Default__XLS_TAB_13_2[DIVORCES])</f>
        <v>202</v>
      </c>
      <c r="E23" s="742">
        <f>SUBTOTAL(109,Table_Default__XLS_TAB_13_2[WIDOWED])</f>
        <v>14</v>
      </c>
      <c r="F23" s="743">
        <f>SUBTOTAL(109,Table_Default__XLS_TAB_13_2[NOT_STATED])</f>
        <v>0</v>
      </c>
      <c r="G23" s="742">
        <f>SUBTOTAL(109,Table_Default__XLS_TAB_13_2[TOTAL])</f>
        <v>1655</v>
      </c>
      <c r="H23" s="744" t="s">
        <v>176</v>
      </c>
    </row>
    <row r="24" spans="1:8" ht="15.75">
      <c r="A24" s="293" t="s">
        <v>292</v>
      </c>
      <c r="B24" s="608">
        <f>B23/$G$23%</f>
        <v>77.94561933534743</v>
      </c>
      <c r="C24" s="608">
        <f>C23/$G$23%</f>
        <v>9.0030211480362539</v>
      </c>
      <c r="D24" s="608">
        <f>D23/$G$23%</f>
        <v>12.205438066465256</v>
      </c>
      <c r="E24" s="608">
        <f>E23/$G$23%</f>
        <v>0.84592145015105735</v>
      </c>
      <c r="F24" s="608">
        <f>F23/$G$23%</f>
        <v>0</v>
      </c>
      <c r="G24" s="608">
        <f>SUM(B24:F24)</f>
        <v>100</v>
      </c>
      <c r="H24" s="294" t="s">
        <v>24</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rightToLeft="1" view="pageBreakPreview" zoomScaleNormal="100" zoomScaleSheetLayoutView="100" workbookViewId="0">
      <selection activeCell="A3" sqref="A3:H3"/>
    </sheetView>
  </sheetViews>
  <sheetFormatPr defaultColWidth="9.140625" defaultRowHeight="12.75"/>
  <cols>
    <col min="1" max="1" width="26.7109375" style="1" customWidth="1"/>
    <col min="2" max="2" width="16" style="1" customWidth="1"/>
    <col min="3" max="3" width="11.7109375" style="1" customWidth="1"/>
    <col min="4" max="4" width="12.85546875" style="1" customWidth="1"/>
    <col min="5" max="5" width="12.7109375" style="1" customWidth="1"/>
    <col min="6" max="6" width="15.5703125" style="1" customWidth="1"/>
    <col min="7" max="7" width="9.42578125" style="1" customWidth="1"/>
    <col min="8" max="8" width="26.7109375" style="1" customWidth="1"/>
    <col min="9" max="16384" width="9.140625" style="1"/>
  </cols>
  <sheetData>
    <row r="1" spans="1:12" s="2" customFormat="1" ht="21.75" customHeight="1">
      <c r="A1" s="934" t="s">
        <v>318</v>
      </c>
      <c r="B1" s="934"/>
      <c r="C1" s="994"/>
      <c r="D1" s="934"/>
      <c r="E1" s="934"/>
      <c r="F1" s="934"/>
      <c r="G1" s="934"/>
      <c r="H1" s="934"/>
    </row>
    <row r="2" spans="1:12" s="2" customFormat="1" ht="15.75">
      <c r="A2" s="958" t="s">
        <v>317</v>
      </c>
      <c r="B2" s="958"/>
      <c r="C2" s="958"/>
      <c r="D2" s="958"/>
      <c r="E2" s="958"/>
      <c r="F2" s="958"/>
      <c r="G2" s="958"/>
      <c r="H2" s="958"/>
    </row>
    <row r="3" spans="1:12" s="2" customFormat="1" ht="18" customHeight="1">
      <c r="A3" s="959">
        <v>2015</v>
      </c>
      <c r="B3" s="959"/>
      <c r="C3" s="959"/>
      <c r="D3" s="959"/>
      <c r="E3" s="959"/>
      <c r="F3" s="959"/>
      <c r="G3" s="959"/>
      <c r="H3" s="959"/>
      <c r="I3" s="125"/>
      <c r="J3" s="125"/>
      <c r="K3" s="125"/>
      <c r="L3" s="125"/>
    </row>
    <row r="4" spans="1:12" s="2" customFormat="1" ht="15.75">
      <c r="A4" s="959" t="s">
        <v>1</v>
      </c>
      <c r="B4" s="959"/>
      <c r="C4" s="959"/>
      <c r="D4" s="959"/>
      <c r="E4" s="959"/>
      <c r="F4" s="959"/>
      <c r="G4" s="959"/>
      <c r="H4" s="959"/>
    </row>
    <row r="5" spans="1:12" s="2" customFormat="1" ht="15.75">
      <c r="A5" s="635"/>
      <c r="B5" s="635"/>
      <c r="C5" s="635"/>
      <c r="D5" s="635"/>
      <c r="E5" s="635"/>
      <c r="F5" s="635"/>
      <c r="G5" s="635"/>
      <c r="H5" s="635"/>
    </row>
    <row r="6" spans="1:12" s="93" customFormat="1" ht="15.75">
      <c r="A6" s="648" t="s">
        <v>337</v>
      </c>
      <c r="B6" s="649"/>
      <c r="C6" s="649"/>
      <c r="D6" s="649"/>
      <c r="E6" s="649"/>
      <c r="F6" s="649"/>
      <c r="G6" s="649"/>
      <c r="H6" s="650" t="s">
        <v>336</v>
      </c>
    </row>
    <row r="7" spans="1:12" ht="26.25" customHeight="1" thickBot="1">
      <c r="A7" s="985" t="s">
        <v>314</v>
      </c>
      <c r="B7" s="969" t="s">
        <v>313</v>
      </c>
      <c r="C7" s="969"/>
      <c r="D7" s="969"/>
      <c r="E7" s="969"/>
      <c r="F7" s="969"/>
      <c r="G7" s="969"/>
      <c r="H7" s="987" t="s">
        <v>312</v>
      </c>
    </row>
    <row r="8" spans="1:12" ht="44.25" customHeight="1">
      <c r="A8" s="992"/>
      <c r="B8" s="582" t="s">
        <v>980</v>
      </c>
      <c r="C8" s="582" t="s">
        <v>981</v>
      </c>
      <c r="D8" s="582" t="s">
        <v>982</v>
      </c>
      <c r="E8" s="582" t="s">
        <v>983</v>
      </c>
      <c r="F8" s="582" t="s">
        <v>293</v>
      </c>
      <c r="G8" s="583" t="s">
        <v>256</v>
      </c>
      <c r="H8" s="993"/>
    </row>
    <row r="9" spans="1:12" ht="16.5" thickBot="1">
      <c r="A9" s="279" t="s">
        <v>751</v>
      </c>
      <c r="B9" s="600">
        <v>59</v>
      </c>
      <c r="C9" s="600">
        <v>0</v>
      </c>
      <c r="D9" s="600">
        <v>0</v>
      </c>
      <c r="E9" s="600">
        <v>0</v>
      </c>
      <c r="F9" s="600">
        <v>0</v>
      </c>
      <c r="G9" s="601">
        <f>SUM(B9:F9)</f>
        <v>59</v>
      </c>
      <c r="H9" s="280" t="s">
        <v>751</v>
      </c>
    </row>
    <row r="10" spans="1:12" ht="16.5" thickBot="1">
      <c r="A10" s="281" t="s">
        <v>269</v>
      </c>
      <c r="B10" s="602">
        <v>929</v>
      </c>
      <c r="C10" s="602">
        <v>8</v>
      </c>
      <c r="D10" s="602">
        <v>47</v>
      </c>
      <c r="E10" s="602">
        <v>0</v>
      </c>
      <c r="F10" s="602">
        <v>0</v>
      </c>
      <c r="G10" s="601">
        <f t="shared" ref="G10:G22" si="0">SUM(B10:F10)</f>
        <v>984</v>
      </c>
      <c r="H10" s="282" t="s">
        <v>269</v>
      </c>
    </row>
    <row r="11" spans="1:12" ht="16.5" thickBot="1">
      <c r="A11" s="281" t="s">
        <v>268</v>
      </c>
      <c r="B11" s="602">
        <v>1180</v>
      </c>
      <c r="C11" s="602">
        <v>34</v>
      </c>
      <c r="D11" s="602">
        <v>164</v>
      </c>
      <c r="E11" s="602">
        <v>0</v>
      </c>
      <c r="F11" s="602">
        <v>0</v>
      </c>
      <c r="G11" s="601">
        <f t="shared" si="0"/>
        <v>1378</v>
      </c>
      <c r="H11" s="282" t="s">
        <v>268</v>
      </c>
    </row>
    <row r="12" spans="1:12" ht="16.5" thickBot="1">
      <c r="A12" s="281" t="s">
        <v>267</v>
      </c>
      <c r="B12" s="602">
        <v>459</v>
      </c>
      <c r="C12" s="602">
        <v>59</v>
      </c>
      <c r="D12" s="602">
        <v>148</v>
      </c>
      <c r="E12" s="602">
        <v>2</v>
      </c>
      <c r="F12" s="602">
        <v>0</v>
      </c>
      <c r="G12" s="601">
        <f t="shared" si="0"/>
        <v>668</v>
      </c>
      <c r="H12" s="282" t="s">
        <v>267</v>
      </c>
    </row>
    <row r="13" spans="1:12" ht="16.5" thickBot="1">
      <c r="A13" s="281" t="s">
        <v>266</v>
      </c>
      <c r="B13" s="602">
        <v>117</v>
      </c>
      <c r="C13" s="602">
        <v>60</v>
      </c>
      <c r="D13" s="602">
        <v>94</v>
      </c>
      <c r="E13" s="602">
        <v>5</v>
      </c>
      <c r="F13" s="602">
        <v>0</v>
      </c>
      <c r="G13" s="601">
        <f t="shared" si="0"/>
        <v>276</v>
      </c>
      <c r="H13" s="282" t="s">
        <v>266</v>
      </c>
    </row>
    <row r="14" spans="1:12" ht="16.5" thickBot="1">
      <c r="A14" s="281" t="s">
        <v>265</v>
      </c>
      <c r="B14" s="602">
        <v>26</v>
      </c>
      <c r="C14" s="602">
        <v>48</v>
      </c>
      <c r="D14" s="602">
        <v>44</v>
      </c>
      <c r="E14" s="602">
        <v>3</v>
      </c>
      <c r="F14" s="602">
        <v>0</v>
      </c>
      <c r="G14" s="601">
        <f t="shared" si="0"/>
        <v>121</v>
      </c>
      <c r="H14" s="282" t="s">
        <v>265</v>
      </c>
    </row>
    <row r="15" spans="1:12" ht="16.5" thickBot="1">
      <c r="A15" s="281" t="s">
        <v>264</v>
      </c>
      <c r="B15" s="602">
        <v>11</v>
      </c>
      <c r="C15" s="602">
        <v>57</v>
      </c>
      <c r="D15" s="602">
        <v>45</v>
      </c>
      <c r="E15" s="602">
        <v>4</v>
      </c>
      <c r="F15" s="602">
        <v>0</v>
      </c>
      <c r="G15" s="601">
        <f t="shared" si="0"/>
        <v>117</v>
      </c>
      <c r="H15" s="282" t="s">
        <v>264</v>
      </c>
    </row>
    <row r="16" spans="1:12" ht="16.5" thickBot="1">
      <c r="A16" s="281" t="s">
        <v>263</v>
      </c>
      <c r="B16" s="602">
        <v>5</v>
      </c>
      <c r="C16" s="602">
        <v>34</v>
      </c>
      <c r="D16" s="602">
        <v>25</v>
      </c>
      <c r="E16" s="602">
        <v>2</v>
      </c>
      <c r="F16" s="602">
        <v>0</v>
      </c>
      <c r="G16" s="601">
        <f t="shared" si="0"/>
        <v>66</v>
      </c>
      <c r="H16" s="282" t="s">
        <v>263</v>
      </c>
    </row>
    <row r="17" spans="1:8" ht="16.5" thickBot="1">
      <c r="A17" s="281" t="s">
        <v>262</v>
      </c>
      <c r="B17" s="602">
        <v>1</v>
      </c>
      <c r="C17" s="602">
        <v>16</v>
      </c>
      <c r="D17" s="602">
        <v>8</v>
      </c>
      <c r="E17" s="602">
        <v>3</v>
      </c>
      <c r="F17" s="602">
        <v>0</v>
      </c>
      <c r="G17" s="601">
        <f t="shared" si="0"/>
        <v>28</v>
      </c>
      <c r="H17" s="282" t="s">
        <v>262</v>
      </c>
    </row>
    <row r="18" spans="1:8" ht="16.5" thickBot="1">
      <c r="A18" s="281" t="s">
        <v>261</v>
      </c>
      <c r="B18" s="602">
        <v>3</v>
      </c>
      <c r="C18" s="602">
        <v>4</v>
      </c>
      <c r="D18" s="602">
        <v>3</v>
      </c>
      <c r="E18" s="602">
        <v>1</v>
      </c>
      <c r="F18" s="602">
        <v>0</v>
      </c>
      <c r="G18" s="601">
        <f t="shared" si="0"/>
        <v>11</v>
      </c>
      <c r="H18" s="282" t="s">
        <v>261</v>
      </c>
    </row>
    <row r="19" spans="1:8" ht="16.5" thickBot="1">
      <c r="A19" s="281" t="s">
        <v>260</v>
      </c>
      <c r="B19" s="602">
        <v>0</v>
      </c>
      <c r="C19" s="602">
        <v>2</v>
      </c>
      <c r="D19" s="602">
        <v>3</v>
      </c>
      <c r="E19" s="602">
        <v>3</v>
      </c>
      <c r="F19" s="602">
        <v>0</v>
      </c>
      <c r="G19" s="601">
        <f t="shared" si="0"/>
        <v>8</v>
      </c>
      <c r="H19" s="282" t="s">
        <v>260</v>
      </c>
    </row>
    <row r="20" spans="1:8" ht="16.5" thickBot="1">
      <c r="A20" s="281" t="s">
        <v>259</v>
      </c>
      <c r="B20" s="602">
        <v>0</v>
      </c>
      <c r="C20" s="602">
        <v>5</v>
      </c>
      <c r="D20" s="602">
        <v>0</v>
      </c>
      <c r="E20" s="602">
        <v>1</v>
      </c>
      <c r="F20" s="602">
        <v>0</v>
      </c>
      <c r="G20" s="601">
        <f t="shared" si="0"/>
        <v>6</v>
      </c>
      <c r="H20" s="282" t="s">
        <v>259</v>
      </c>
    </row>
    <row r="21" spans="1:8" ht="16.5" thickBot="1">
      <c r="A21" s="281" t="s">
        <v>258</v>
      </c>
      <c r="B21" s="602">
        <v>0</v>
      </c>
      <c r="C21" s="602">
        <v>0</v>
      </c>
      <c r="D21" s="602">
        <v>1</v>
      </c>
      <c r="E21" s="602">
        <v>1</v>
      </c>
      <c r="F21" s="602">
        <v>0</v>
      </c>
      <c r="G21" s="601">
        <f t="shared" si="0"/>
        <v>2</v>
      </c>
      <c r="H21" s="282" t="s">
        <v>258</v>
      </c>
    </row>
    <row r="22" spans="1:8" ht="15.75">
      <c r="A22" s="283" t="s">
        <v>19</v>
      </c>
      <c r="B22" s="604">
        <v>0</v>
      </c>
      <c r="C22" s="604">
        <v>0</v>
      </c>
      <c r="D22" s="604">
        <v>0</v>
      </c>
      <c r="E22" s="604">
        <v>0</v>
      </c>
      <c r="F22" s="604">
        <v>0</v>
      </c>
      <c r="G22" s="770">
        <f t="shared" si="0"/>
        <v>0</v>
      </c>
      <c r="H22" s="284" t="s">
        <v>20</v>
      </c>
    </row>
    <row r="23" spans="1:8" ht="21.95" customHeight="1" thickBot="1">
      <c r="A23" s="741" t="s">
        <v>21</v>
      </c>
      <c r="B23" s="742">
        <f>SUBTOTAL(109,Table_Default__XLS_TAB_13_3[NEVER_MARR])</f>
        <v>2790</v>
      </c>
      <c r="C23" s="742">
        <f>SUBTOTAL(109,Table_Default__XLS_TAB_13_3[MARRIED])</f>
        <v>327</v>
      </c>
      <c r="D23" s="742">
        <f>SUBTOTAL(109,Table_Default__XLS_TAB_13_3[DIVORCES])</f>
        <v>582</v>
      </c>
      <c r="E23" s="742">
        <f>SUBTOTAL(109,Table_Default__XLS_TAB_13_3[WIDOWED])</f>
        <v>25</v>
      </c>
      <c r="F23" s="743">
        <f>SUBTOTAL(109,Table_Default__XLS_TAB_13_3[NOT_STATED])</f>
        <v>0</v>
      </c>
      <c r="G23" s="742">
        <f>SUBTOTAL(109,Table_Default__XLS_TAB_13_3[TOTAL])</f>
        <v>3724</v>
      </c>
      <c r="H23" s="744" t="s">
        <v>176</v>
      </c>
    </row>
    <row r="24" spans="1:8" ht="15.75">
      <c r="A24" s="295" t="s">
        <v>292</v>
      </c>
      <c r="B24" s="609">
        <f>B23/$G$23%</f>
        <v>74.919441460794843</v>
      </c>
      <c r="C24" s="609">
        <f>C23/$G$23%</f>
        <v>8.7808807733619751</v>
      </c>
      <c r="D24" s="609">
        <f>D23/$G$23%</f>
        <v>15.628356605800214</v>
      </c>
      <c r="E24" s="609">
        <f>E23/$G$23%</f>
        <v>0.67132116004296449</v>
      </c>
      <c r="F24" s="609">
        <f>F23/$G$23%</f>
        <v>0</v>
      </c>
      <c r="G24" s="609">
        <f>SUM(B24:F24)</f>
        <v>100</v>
      </c>
      <c r="H24" s="296" t="s">
        <v>24</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rightToLeft="1" view="pageBreakPreview" zoomScaleNormal="100" zoomScaleSheetLayoutView="100" workbookViewId="0">
      <selection activeCell="A3" sqref="A3:G3"/>
    </sheetView>
  </sheetViews>
  <sheetFormatPr defaultColWidth="9.140625" defaultRowHeight="12.75"/>
  <cols>
    <col min="1" max="1" width="26.7109375" style="2" customWidth="1"/>
    <col min="2" max="2" width="16.7109375" style="2" customWidth="1"/>
    <col min="3" max="3" width="12.85546875" style="2" customWidth="1"/>
    <col min="4" max="4" width="12.7109375" style="2" customWidth="1"/>
    <col min="5" max="5" width="15.5703125" style="2" customWidth="1"/>
    <col min="6" max="6" width="9.42578125" style="2" customWidth="1"/>
    <col min="7" max="7" width="26.7109375" style="2" customWidth="1"/>
    <col min="8" max="16384" width="9.140625" style="2"/>
  </cols>
  <sheetData>
    <row r="1" spans="1:11" ht="21.75" customHeight="1">
      <c r="A1" s="934" t="s">
        <v>332</v>
      </c>
      <c r="B1" s="934"/>
      <c r="C1" s="994"/>
      <c r="D1" s="934"/>
      <c r="E1" s="934"/>
      <c r="F1" s="934"/>
      <c r="G1" s="934"/>
    </row>
    <row r="2" spans="1:11" ht="15.75">
      <c r="A2" s="958" t="s">
        <v>331</v>
      </c>
      <c r="B2" s="958"/>
      <c r="C2" s="958"/>
      <c r="D2" s="958"/>
      <c r="E2" s="958"/>
      <c r="F2" s="958"/>
      <c r="G2" s="958"/>
    </row>
    <row r="3" spans="1:11" ht="18" customHeight="1">
      <c r="A3" s="959">
        <v>2015</v>
      </c>
      <c r="B3" s="959"/>
      <c r="C3" s="959"/>
      <c r="D3" s="959"/>
      <c r="E3" s="959"/>
      <c r="F3" s="959"/>
      <c r="G3" s="959"/>
      <c r="H3" s="125"/>
      <c r="I3" s="125"/>
      <c r="J3" s="125"/>
      <c r="K3" s="125"/>
    </row>
    <row r="4" spans="1:11" ht="15.75">
      <c r="A4" s="959" t="s">
        <v>330</v>
      </c>
      <c r="B4" s="959"/>
      <c r="C4" s="959"/>
      <c r="D4" s="959"/>
      <c r="E4" s="959"/>
      <c r="F4" s="959"/>
      <c r="G4" s="959"/>
    </row>
    <row r="5" spans="1:11" ht="15.75">
      <c r="A5" s="635"/>
      <c r="B5" s="635"/>
      <c r="C5" s="635"/>
      <c r="D5" s="635"/>
      <c r="E5" s="635"/>
      <c r="F5" s="635"/>
      <c r="G5" s="635"/>
    </row>
    <row r="6" spans="1:11" s="93" customFormat="1" ht="15.75">
      <c r="A6" s="648" t="s">
        <v>345</v>
      </c>
      <c r="B6" s="649"/>
      <c r="C6" s="649"/>
      <c r="D6" s="649"/>
      <c r="E6" s="649"/>
      <c r="F6" s="649"/>
      <c r="G6" s="650" t="s">
        <v>344</v>
      </c>
    </row>
    <row r="7" spans="1:11" ht="26.25" customHeight="1" thickBot="1">
      <c r="A7" s="985" t="s">
        <v>327</v>
      </c>
      <c r="B7" s="969" t="s">
        <v>313</v>
      </c>
      <c r="C7" s="969"/>
      <c r="D7" s="969"/>
      <c r="E7" s="969"/>
      <c r="F7" s="969"/>
      <c r="G7" s="987" t="s">
        <v>326</v>
      </c>
    </row>
    <row r="8" spans="1:11" ht="40.5" customHeight="1">
      <c r="A8" s="992"/>
      <c r="B8" s="582" t="s">
        <v>974</v>
      </c>
      <c r="C8" s="582" t="s">
        <v>325</v>
      </c>
      <c r="D8" s="582" t="s">
        <v>324</v>
      </c>
      <c r="E8" s="582" t="s">
        <v>293</v>
      </c>
      <c r="F8" s="583" t="s">
        <v>256</v>
      </c>
      <c r="G8" s="993"/>
    </row>
    <row r="9" spans="1:11" ht="18.75" customHeight="1" thickBot="1">
      <c r="A9" s="269" t="s">
        <v>751</v>
      </c>
      <c r="B9" s="600">
        <v>325</v>
      </c>
      <c r="C9" s="600">
        <v>8</v>
      </c>
      <c r="D9" s="600">
        <v>1</v>
      </c>
      <c r="E9" s="600">
        <v>0</v>
      </c>
      <c r="F9" s="601">
        <f>SUM(B9:E9)</f>
        <v>334</v>
      </c>
      <c r="G9" s="270" t="s">
        <v>751</v>
      </c>
    </row>
    <row r="10" spans="1:11" ht="18.75" customHeight="1" thickBot="1">
      <c r="A10" s="271" t="s">
        <v>269</v>
      </c>
      <c r="B10" s="602">
        <v>803</v>
      </c>
      <c r="C10" s="602">
        <v>69</v>
      </c>
      <c r="D10" s="602">
        <v>1</v>
      </c>
      <c r="E10" s="602">
        <v>0</v>
      </c>
      <c r="F10" s="601">
        <f t="shared" ref="F10:F19" si="0">SUM(B10:E10)</f>
        <v>873</v>
      </c>
      <c r="G10" s="272" t="s">
        <v>269</v>
      </c>
    </row>
    <row r="11" spans="1:11" ht="18.75" customHeight="1" thickBot="1">
      <c r="A11" s="271" t="s">
        <v>268</v>
      </c>
      <c r="B11" s="602">
        <v>344</v>
      </c>
      <c r="C11" s="602">
        <v>103</v>
      </c>
      <c r="D11" s="602">
        <v>2</v>
      </c>
      <c r="E11" s="602">
        <v>0</v>
      </c>
      <c r="F11" s="601">
        <f t="shared" si="0"/>
        <v>449</v>
      </c>
      <c r="G11" s="272" t="s">
        <v>268</v>
      </c>
    </row>
    <row r="12" spans="1:11" ht="18.75" customHeight="1" thickBot="1">
      <c r="A12" s="271" t="s">
        <v>267</v>
      </c>
      <c r="B12" s="602">
        <v>112</v>
      </c>
      <c r="C12" s="602">
        <v>70</v>
      </c>
      <c r="D12" s="602">
        <v>2</v>
      </c>
      <c r="E12" s="602">
        <v>0</v>
      </c>
      <c r="F12" s="601">
        <f t="shared" si="0"/>
        <v>184</v>
      </c>
      <c r="G12" s="272" t="s">
        <v>267</v>
      </c>
    </row>
    <row r="13" spans="1:11" ht="18.75" customHeight="1" thickBot="1">
      <c r="A13" s="271" t="s">
        <v>266</v>
      </c>
      <c r="B13" s="602">
        <v>26</v>
      </c>
      <c r="C13" s="602">
        <v>45</v>
      </c>
      <c r="D13" s="602">
        <v>2</v>
      </c>
      <c r="E13" s="602">
        <v>0</v>
      </c>
      <c r="F13" s="601">
        <f t="shared" si="0"/>
        <v>73</v>
      </c>
      <c r="G13" s="272" t="s">
        <v>266</v>
      </c>
    </row>
    <row r="14" spans="1:11" ht="18.75" customHeight="1" thickBot="1">
      <c r="A14" s="271" t="s">
        <v>265</v>
      </c>
      <c r="B14" s="602">
        <v>18</v>
      </c>
      <c r="C14" s="602">
        <v>31</v>
      </c>
      <c r="D14" s="602">
        <v>3</v>
      </c>
      <c r="E14" s="602">
        <v>0</v>
      </c>
      <c r="F14" s="601">
        <f t="shared" si="0"/>
        <v>52</v>
      </c>
      <c r="G14" s="272" t="s">
        <v>265</v>
      </c>
    </row>
    <row r="15" spans="1:11" ht="18.75" customHeight="1" thickBot="1">
      <c r="A15" s="271" t="s">
        <v>264</v>
      </c>
      <c r="B15" s="602">
        <v>6</v>
      </c>
      <c r="C15" s="602">
        <v>14</v>
      </c>
      <c r="D15" s="602">
        <v>0</v>
      </c>
      <c r="E15" s="602">
        <v>0</v>
      </c>
      <c r="F15" s="601">
        <f t="shared" si="0"/>
        <v>20</v>
      </c>
      <c r="G15" s="272" t="s">
        <v>264</v>
      </c>
    </row>
    <row r="16" spans="1:11" ht="18.75" customHeight="1" thickBot="1">
      <c r="A16" s="271" t="s">
        <v>263</v>
      </c>
      <c r="B16" s="602">
        <v>2</v>
      </c>
      <c r="C16" s="602">
        <v>3</v>
      </c>
      <c r="D16" s="602">
        <v>0</v>
      </c>
      <c r="E16" s="602">
        <v>0</v>
      </c>
      <c r="F16" s="601">
        <f t="shared" si="0"/>
        <v>5</v>
      </c>
      <c r="G16" s="272" t="s">
        <v>263</v>
      </c>
    </row>
    <row r="17" spans="1:7" ht="18.75" customHeight="1" thickBot="1">
      <c r="A17" s="271" t="s">
        <v>262</v>
      </c>
      <c r="B17" s="602">
        <v>0</v>
      </c>
      <c r="C17" s="602">
        <v>2</v>
      </c>
      <c r="D17" s="602">
        <v>0</v>
      </c>
      <c r="E17" s="602">
        <v>0</v>
      </c>
      <c r="F17" s="601">
        <f t="shared" si="0"/>
        <v>2</v>
      </c>
      <c r="G17" s="272" t="s">
        <v>262</v>
      </c>
    </row>
    <row r="18" spans="1:7" ht="18.75" customHeight="1" thickBot="1">
      <c r="A18" s="271" t="s">
        <v>275</v>
      </c>
      <c r="B18" s="602">
        <v>0</v>
      </c>
      <c r="C18" s="602">
        <v>1</v>
      </c>
      <c r="D18" s="602">
        <v>0</v>
      </c>
      <c r="E18" s="602">
        <v>0</v>
      </c>
      <c r="F18" s="601">
        <f t="shared" si="0"/>
        <v>1</v>
      </c>
      <c r="G18" s="272" t="s">
        <v>275</v>
      </c>
    </row>
    <row r="19" spans="1:7" ht="18.75" customHeight="1">
      <c r="A19" s="289" t="s">
        <v>19</v>
      </c>
      <c r="B19" s="604">
        <v>0</v>
      </c>
      <c r="C19" s="604">
        <v>0</v>
      </c>
      <c r="D19" s="604">
        <v>0</v>
      </c>
      <c r="E19" s="604">
        <v>0</v>
      </c>
      <c r="F19" s="770">
        <f t="shared" si="0"/>
        <v>0</v>
      </c>
      <c r="G19" s="290" t="s">
        <v>20</v>
      </c>
    </row>
    <row r="20" spans="1:7" ht="18.75" customHeight="1">
      <c r="A20" s="745" t="s">
        <v>21</v>
      </c>
      <c r="B20" s="746">
        <f>SUBTOTAL(109,Table_Default__XLS_TAB_14_1[NOT_MARRIED])</f>
        <v>1636</v>
      </c>
      <c r="C20" s="746">
        <f>SUBTOTAL(109,Table_Default__XLS_TAB_14_1[DIVORCES])</f>
        <v>346</v>
      </c>
      <c r="D20" s="746">
        <f>SUBTOTAL(109,Table_Default__XLS_TAB_14_1[WIDOWED])</f>
        <v>11</v>
      </c>
      <c r="E20" s="746">
        <f>SUBTOTAL(109,Table_Default__XLS_TAB_14_1[NOT_STATED])</f>
        <v>0</v>
      </c>
      <c r="F20" s="746">
        <f>SUBTOTAL(109,Table_Default__XLS_TAB_14_1[TOTAL])</f>
        <v>1993</v>
      </c>
      <c r="G20" s="747" t="s">
        <v>176</v>
      </c>
    </row>
    <row r="21" spans="1:7" ht="18.75" customHeight="1">
      <c r="A21" s="297" t="s">
        <v>292</v>
      </c>
      <c r="B21" s="610">
        <f>B20/$F$20%</f>
        <v>82.087305569493225</v>
      </c>
      <c r="C21" s="610">
        <f>C20/$F$20%</f>
        <v>17.360762669342698</v>
      </c>
      <c r="D21" s="610">
        <f>D20/$F$20%</f>
        <v>0.55193176116407427</v>
      </c>
      <c r="E21" s="610">
        <f>E20/$F$20%</f>
        <v>0</v>
      </c>
      <c r="F21" s="610">
        <f>F20/$F$20%</f>
        <v>100</v>
      </c>
      <c r="G21" s="298" t="s">
        <v>24</v>
      </c>
    </row>
  </sheetData>
  <mergeCells count="7">
    <mergeCell ref="A7:A8"/>
    <mergeCell ref="B7:F7"/>
    <mergeCell ref="G7:G8"/>
    <mergeCell ref="A1:G1"/>
    <mergeCell ref="A2:G2"/>
    <mergeCell ref="A3:G3"/>
    <mergeCell ref="A4:G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rightToLeft="1" view="pageBreakPreview" zoomScaleNormal="100" zoomScaleSheetLayoutView="100" workbookViewId="0">
      <selection activeCell="A3" sqref="A3:G3"/>
    </sheetView>
  </sheetViews>
  <sheetFormatPr defaultColWidth="9.140625" defaultRowHeight="12.75"/>
  <cols>
    <col min="1" max="1" width="26.7109375" style="2" customWidth="1"/>
    <col min="2" max="2" width="16.7109375" style="2" customWidth="1"/>
    <col min="3" max="3" width="12.85546875" style="2" customWidth="1"/>
    <col min="4" max="4" width="12.7109375" style="2" customWidth="1"/>
    <col min="5" max="5" width="15.5703125" style="2" customWidth="1"/>
    <col min="6" max="6" width="9.42578125" style="2" customWidth="1"/>
    <col min="7" max="7" width="26.7109375" style="2" customWidth="1"/>
    <col min="8" max="16384" width="9.140625" style="2"/>
  </cols>
  <sheetData>
    <row r="1" spans="1:11" ht="21.75" customHeight="1">
      <c r="A1" s="934" t="s">
        <v>332</v>
      </c>
      <c r="B1" s="934"/>
      <c r="C1" s="994"/>
      <c r="D1" s="934"/>
      <c r="E1" s="934"/>
      <c r="F1" s="934"/>
      <c r="G1" s="934"/>
    </row>
    <row r="2" spans="1:11" ht="15.75">
      <c r="A2" s="958" t="s">
        <v>331</v>
      </c>
      <c r="B2" s="958"/>
      <c r="C2" s="958"/>
      <c r="D2" s="958"/>
      <c r="E2" s="958"/>
      <c r="F2" s="958"/>
      <c r="G2" s="958"/>
    </row>
    <row r="3" spans="1:11" ht="18" customHeight="1">
      <c r="A3" s="959">
        <v>2015</v>
      </c>
      <c r="B3" s="959"/>
      <c r="C3" s="959"/>
      <c r="D3" s="959"/>
      <c r="E3" s="959"/>
      <c r="F3" s="959"/>
      <c r="G3" s="959"/>
      <c r="H3" s="125"/>
      <c r="I3" s="125"/>
      <c r="J3" s="125"/>
      <c r="K3" s="125"/>
    </row>
    <row r="4" spans="1:11" ht="15.75">
      <c r="A4" s="959" t="s">
        <v>335</v>
      </c>
      <c r="B4" s="959"/>
      <c r="C4" s="959"/>
      <c r="D4" s="959"/>
      <c r="E4" s="959"/>
      <c r="F4" s="959"/>
      <c r="G4" s="959"/>
    </row>
    <row r="5" spans="1:11" ht="15.75">
      <c r="A5" s="635"/>
      <c r="B5" s="635"/>
      <c r="C5" s="635"/>
      <c r="D5" s="635"/>
      <c r="E5" s="635"/>
      <c r="F5" s="635"/>
      <c r="G5" s="635"/>
    </row>
    <row r="6" spans="1:11" s="93" customFormat="1" ht="15.75">
      <c r="A6" s="648" t="s">
        <v>349</v>
      </c>
      <c r="B6" s="649"/>
      <c r="C6" s="649"/>
      <c r="D6" s="649"/>
      <c r="E6" s="649"/>
      <c r="F6" s="649"/>
      <c r="G6" s="650" t="s">
        <v>348</v>
      </c>
    </row>
    <row r="7" spans="1:11" ht="26.25" customHeight="1" thickBot="1">
      <c r="A7" s="985" t="s">
        <v>327</v>
      </c>
      <c r="B7" s="969" t="s">
        <v>313</v>
      </c>
      <c r="C7" s="969"/>
      <c r="D7" s="969"/>
      <c r="E7" s="969"/>
      <c r="F7" s="969"/>
      <c r="G7" s="987" t="s">
        <v>326</v>
      </c>
    </row>
    <row r="8" spans="1:11" ht="40.5" customHeight="1">
      <c r="A8" s="992"/>
      <c r="B8" s="582" t="s">
        <v>974</v>
      </c>
      <c r="C8" s="582" t="s">
        <v>325</v>
      </c>
      <c r="D8" s="582" t="s">
        <v>324</v>
      </c>
      <c r="E8" s="582" t="s">
        <v>293</v>
      </c>
      <c r="F8" s="583" t="s">
        <v>256</v>
      </c>
      <c r="G8" s="993"/>
    </row>
    <row r="9" spans="1:11" ht="18.75" customHeight="1" thickBot="1">
      <c r="A9" s="269" t="s">
        <v>751</v>
      </c>
      <c r="B9" s="600">
        <v>187</v>
      </c>
      <c r="C9" s="600">
        <v>2</v>
      </c>
      <c r="D9" s="600">
        <v>0</v>
      </c>
      <c r="E9" s="600">
        <v>0</v>
      </c>
      <c r="F9" s="601">
        <f>SUM(B9:E9)</f>
        <v>189</v>
      </c>
      <c r="G9" s="270" t="s">
        <v>751</v>
      </c>
    </row>
    <row r="10" spans="1:11" ht="18.75" customHeight="1" thickBot="1">
      <c r="A10" s="271" t="s">
        <v>269</v>
      </c>
      <c r="B10" s="602">
        <v>512</v>
      </c>
      <c r="C10" s="602">
        <v>19</v>
      </c>
      <c r="D10" s="602">
        <v>2</v>
      </c>
      <c r="E10" s="602">
        <v>0</v>
      </c>
      <c r="F10" s="601">
        <f t="shared" ref="F10:F19" si="0">SUM(B10:E10)</f>
        <v>533</v>
      </c>
      <c r="G10" s="272" t="s">
        <v>269</v>
      </c>
    </row>
    <row r="11" spans="1:11" ht="18.75" customHeight="1" thickBot="1">
      <c r="A11" s="271" t="s">
        <v>268</v>
      </c>
      <c r="B11" s="602">
        <v>475</v>
      </c>
      <c r="C11" s="602">
        <v>65</v>
      </c>
      <c r="D11" s="602">
        <v>5</v>
      </c>
      <c r="E11" s="602">
        <v>0</v>
      </c>
      <c r="F11" s="601">
        <f t="shared" si="0"/>
        <v>545</v>
      </c>
      <c r="G11" s="272" t="s">
        <v>268</v>
      </c>
    </row>
    <row r="12" spans="1:11" ht="18.75" customHeight="1" thickBot="1">
      <c r="A12" s="271" t="s">
        <v>267</v>
      </c>
      <c r="B12" s="602">
        <v>189</v>
      </c>
      <c r="C12" s="602">
        <v>75</v>
      </c>
      <c r="D12" s="602">
        <v>1</v>
      </c>
      <c r="E12" s="602">
        <v>0</v>
      </c>
      <c r="F12" s="601">
        <f t="shared" si="0"/>
        <v>265</v>
      </c>
      <c r="G12" s="272" t="s">
        <v>267</v>
      </c>
    </row>
    <row r="13" spans="1:11" ht="18.75" customHeight="1" thickBot="1">
      <c r="A13" s="271" t="s">
        <v>266</v>
      </c>
      <c r="B13" s="602">
        <v>82</v>
      </c>
      <c r="C13" s="602">
        <v>40</v>
      </c>
      <c r="D13" s="602">
        <v>4</v>
      </c>
      <c r="E13" s="602">
        <v>0</v>
      </c>
      <c r="F13" s="601">
        <f t="shared" si="0"/>
        <v>126</v>
      </c>
      <c r="G13" s="272" t="s">
        <v>266</v>
      </c>
    </row>
    <row r="14" spans="1:11" ht="18.75" customHeight="1" thickBot="1">
      <c r="A14" s="271" t="s">
        <v>265</v>
      </c>
      <c r="B14" s="602">
        <v>17</v>
      </c>
      <c r="C14" s="602">
        <v>20</v>
      </c>
      <c r="D14" s="602">
        <v>5</v>
      </c>
      <c r="E14" s="602">
        <v>0</v>
      </c>
      <c r="F14" s="601">
        <f t="shared" si="0"/>
        <v>42</v>
      </c>
      <c r="G14" s="272" t="s">
        <v>265</v>
      </c>
    </row>
    <row r="15" spans="1:11" ht="18.75" customHeight="1" thickBot="1">
      <c r="A15" s="271" t="s">
        <v>264</v>
      </c>
      <c r="B15" s="602">
        <v>5</v>
      </c>
      <c r="C15" s="602">
        <v>11</v>
      </c>
      <c r="D15" s="602">
        <v>2</v>
      </c>
      <c r="E15" s="602">
        <v>0</v>
      </c>
      <c r="F15" s="601">
        <f t="shared" si="0"/>
        <v>18</v>
      </c>
      <c r="G15" s="272" t="s">
        <v>264</v>
      </c>
    </row>
    <row r="16" spans="1:11" ht="18.75" customHeight="1" thickBot="1">
      <c r="A16" s="271" t="s">
        <v>263</v>
      </c>
      <c r="B16" s="602">
        <v>2</v>
      </c>
      <c r="C16" s="602">
        <v>5</v>
      </c>
      <c r="D16" s="602">
        <v>1</v>
      </c>
      <c r="E16" s="602">
        <v>0</v>
      </c>
      <c r="F16" s="601">
        <f t="shared" si="0"/>
        <v>8</v>
      </c>
      <c r="G16" s="272" t="s">
        <v>263</v>
      </c>
    </row>
    <row r="17" spans="1:7" ht="18.75" customHeight="1" thickBot="1">
      <c r="A17" s="271" t="s">
        <v>262</v>
      </c>
      <c r="B17" s="602">
        <v>1</v>
      </c>
      <c r="C17" s="602">
        <v>3</v>
      </c>
      <c r="D17" s="602">
        <v>0</v>
      </c>
      <c r="E17" s="602">
        <v>0</v>
      </c>
      <c r="F17" s="601">
        <f t="shared" si="0"/>
        <v>4</v>
      </c>
      <c r="G17" s="272" t="s">
        <v>262</v>
      </c>
    </row>
    <row r="18" spans="1:7" ht="18.75" customHeight="1" thickBot="1">
      <c r="A18" s="271" t="s">
        <v>275</v>
      </c>
      <c r="B18" s="602">
        <v>0</v>
      </c>
      <c r="C18" s="602">
        <v>1</v>
      </c>
      <c r="D18" s="602">
        <v>0</v>
      </c>
      <c r="E18" s="602">
        <v>0</v>
      </c>
      <c r="F18" s="601">
        <f t="shared" si="0"/>
        <v>1</v>
      </c>
      <c r="G18" s="272" t="s">
        <v>275</v>
      </c>
    </row>
    <row r="19" spans="1:7" ht="18.75" customHeight="1">
      <c r="A19" s="289" t="s">
        <v>19</v>
      </c>
      <c r="B19" s="604">
        <v>0</v>
      </c>
      <c r="C19" s="604">
        <v>0</v>
      </c>
      <c r="D19" s="604">
        <v>0</v>
      </c>
      <c r="E19" s="604">
        <v>0</v>
      </c>
      <c r="F19" s="770">
        <f t="shared" si="0"/>
        <v>0</v>
      </c>
      <c r="G19" s="290" t="s">
        <v>20</v>
      </c>
    </row>
    <row r="20" spans="1:7" ht="18.75" customHeight="1" thickBot="1">
      <c r="A20" s="745" t="s">
        <v>21</v>
      </c>
      <c r="B20" s="746">
        <f>SUBTOTAL(109,Table_Default__XLS_TAB_14_2[NOT_MARRIED])</f>
        <v>1470</v>
      </c>
      <c r="C20" s="746">
        <f>SUBTOTAL(109,Table_Default__XLS_TAB_14_2[DIVORCES])</f>
        <v>241</v>
      </c>
      <c r="D20" s="746">
        <f>SUBTOTAL(109,Table_Default__XLS_TAB_14_2[WIDOWED])</f>
        <v>20</v>
      </c>
      <c r="E20" s="746">
        <f>SUBTOTAL(109,Table_Default__XLS_TAB_14_2[NOT_STATED])</f>
        <v>0</v>
      </c>
      <c r="F20" s="777">
        <f>SUBTOTAL(109,Table_Default__XLS_TAB_14_2[TOTAL])</f>
        <v>1731</v>
      </c>
      <c r="G20" s="747" t="s">
        <v>176</v>
      </c>
    </row>
    <row r="21" spans="1:7" ht="18.75" customHeight="1">
      <c r="A21" s="299" t="s">
        <v>292</v>
      </c>
      <c r="B21" s="611">
        <f>B20/$F$20%</f>
        <v>84.922010398613523</v>
      </c>
      <c r="C21" s="611">
        <f>C20/$F$20%</f>
        <v>13.92258809936453</v>
      </c>
      <c r="D21" s="611">
        <f>D20/$F$20%</f>
        <v>1.1554015020219528</v>
      </c>
      <c r="E21" s="611">
        <f>E20/$F$20%</f>
        <v>0</v>
      </c>
      <c r="F21" s="611">
        <f>SUM(B21:E21)</f>
        <v>100.00000000000001</v>
      </c>
      <c r="G21" s="300" t="s">
        <v>24</v>
      </c>
    </row>
  </sheetData>
  <mergeCells count="7">
    <mergeCell ref="A7:A8"/>
    <mergeCell ref="B7:F7"/>
    <mergeCell ref="G7:G8"/>
    <mergeCell ref="A1:G1"/>
    <mergeCell ref="A2:G2"/>
    <mergeCell ref="A3:G3"/>
    <mergeCell ref="A4:G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rightToLeft="1" view="pageBreakPreview" zoomScaleNormal="100" zoomScaleSheetLayoutView="100" workbookViewId="0">
      <selection activeCell="A3" sqref="A3:G3"/>
    </sheetView>
  </sheetViews>
  <sheetFormatPr defaultColWidth="9.140625" defaultRowHeight="12.75"/>
  <cols>
    <col min="1" max="1" width="26.7109375" style="2" customWidth="1"/>
    <col min="2" max="2" width="16.7109375" style="2" customWidth="1"/>
    <col min="3" max="3" width="12.85546875" style="2" customWidth="1"/>
    <col min="4" max="4" width="12.7109375" style="2" customWidth="1"/>
    <col min="5" max="5" width="15.5703125" style="2" customWidth="1"/>
    <col min="6" max="6" width="9.42578125" style="2" customWidth="1"/>
    <col min="7" max="7" width="26.7109375" style="2" customWidth="1"/>
    <col min="8" max="16384" width="9.140625" style="2"/>
  </cols>
  <sheetData>
    <row r="1" spans="1:11" ht="21.75" customHeight="1">
      <c r="A1" s="934" t="s">
        <v>332</v>
      </c>
      <c r="B1" s="934"/>
      <c r="C1" s="994"/>
      <c r="D1" s="934"/>
      <c r="E1" s="934"/>
      <c r="F1" s="934"/>
      <c r="G1" s="934"/>
    </row>
    <row r="2" spans="1:11" ht="15.75">
      <c r="A2" s="958" t="s">
        <v>331</v>
      </c>
      <c r="B2" s="958"/>
      <c r="C2" s="958"/>
      <c r="D2" s="958"/>
      <c r="E2" s="958"/>
      <c r="F2" s="958"/>
      <c r="G2" s="958"/>
    </row>
    <row r="3" spans="1:11" ht="18" customHeight="1">
      <c r="A3" s="959">
        <v>2015</v>
      </c>
      <c r="B3" s="959"/>
      <c r="C3" s="959"/>
      <c r="D3" s="959"/>
      <c r="E3" s="959"/>
      <c r="F3" s="959"/>
      <c r="G3" s="959"/>
      <c r="H3" s="125"/>
      <c r="I3" s="125"/>
      <c r="J3" s="125"/>
      <c r="K3" s="125"/>
    </row>
    <row r="4" spans="1:11" ht="15.75">
      <c r="A4" s="959" t="s">
        <v>1</v>
      </c>
      <c r="B4" s="959"/>
      <c r="C4" s="959"/>
      <c r="D4" s="959"/>
      <c r="E4" s="959"/>
      <c r="F4" s="959"/>
      <c r="G4" s="959"/>
    </row>
    <row r="5" spans="1:11" ht="15.75">
      <c r="A5" s="635"/>
      <c r="B5" s="635"/>
      <c r="C5" s="635"/>
      <c r="D5" s="635"/>
      <c r="E5" s="635"/>
      <c r="F5" s="635"/>
      <c r="G5" s="635"/>
    </row>
    <row r="6" spans="1:11" s="93" customFormat="1" ht="15.75">
      <c r="A6" s="648" t="s">
        <v>351</v>
      </c>
      <c r="B6" s="649"/>
      <c r="C6" s="649"/>
      <c r="D6" s="649"/>
      <c r="E6" s="649"/>
      <c r="F6" s="649"/>
      <c r="G6" s="650" t="s">
        <v>350</v>
      </c>
    </row>
    <row r="7" spans="1:11" ht="26.25" customHeight="1" thickBot="1">
      <c r="A7" s="985" t="s">
        <v>327</v>
      </c>
      <c r="B7" s="969" t="s">
        <v>313</v>
      </c>
      <c r="C7" s="969"/>
      <c r="D7" s="969"/>
      <c r="E7" s="969"/>
      <c r="F7" s="969"/>
      <c r="G7" s="987" t="s">
        <v>326</v>
      </c>
    </row>
    <row r="8" spans="1:11" ht="40.5" customHeight="1">
      <c r="A8" s="992"/>
      <c r="B8" s="582" t="s">
        <v>974</v>
      </c>
      <c r="C8" s="582" t="s">
        <v>325</v>
      </c>
      <c r="D8" s="582" t="s">
        <v>324</v>
      </c>
      <c r="E8" s="582" t="s">
        <v>293</v>
      </c>
      <c r="F8" s="583" t="s">
        <v>256</v>
      </c>
      <c r="G8" s="993"/>
    </row>
    <row r="9" spans="1:11" ht="18.75" customHeight="1" thickBot="1">
      <c r="A9" s="269" t="s">
        <v>751</v>
      </c>
      <c r="B9" s="600">
        <v>512</v>
      </c>
      <c r="C9" s="600">
        <v>10</v>
      </c>
      <c r="D9" s="600">
        <v>1</v>
      </c>
      <c r="E9" s="600">
        <v>0</v>
      </c>
      <c r="F9" s="601">
        <f>SUM(B9:E9)</f>
        <v>523</v>
      </c>
      <c r="G9" s="270" t="s">
        <v>751</v>
      </c>
    </row>
    <row r="10" spans="1:11" ht="18.75" customHeight="1" thickBot="1">
      <c r="A10" s="271" t="s">
        <v>269</v>
      </c>
      <c r="B10" s="602">
        <v>1315</v>
      </c>
      <c r="C10" s="602">
        <v>88</v>
      </c>
      <c r="D10" s="602">
        <v>3</v>
      </c>
      <c r="E10" s="602">
        <v>0</v>
      </c>
      <c r="F10" s="601">
        <f t="shared" ref="F10:F19" si="0">SUM(B10:E10)</f>
        <v>1406</v>
      </c>
      <c r="G10" s="272" t="s">
        <v>269</v>
      </c>
    </row>
    <row r="11" spans="1:11" ht="18.75" customHeight="1" thickBot="1">
      <c r="A11" s="271" t="s">
        <v>268</v>
      </c>
      <c r="B11" s="602">
        <v>819</v>
      </c>
      <c r="C11" s="602">
        <v>168</v>
      </c>
      <c r="D11" s="602">
        <v>7</v>
      </c>
      <c r="E11" s="602">
        <v>0</v>
      </c>
      <c r="F11" s="601">
        <f t="shared" si="0"/>
        <v>994</v>
      </c>
      <c r="G11" s="272" t="s">
        <v>268</v>
      </c>
    </row>
    <row r="12" spans="1:11" ht="18.75" customHeight="1" thickBot="1">
      <c r="A12" s="271" t="s">
        <v>267</v>
      </c>
      <c r="B12" s="602">
        <v>301</v>
      </c>
      <c r="C12" s="602">
        <v>145</v>
      </c>
      <c r="D12" s="602">
        <v>3</v>
      </c>
      <c r="E12" s="602">
        <v>0</v>
      </c>
      <c r="F12" s="601">
        <f t="shared" si="0"/>
        <v>449</v>
      </c>
      <c r="G12" s="272" t="s">
        <v>267</v>
      </c>
    </row>
    <row r="13" spans="1:11" ht="18.75" customHeight="1" thickBot="1">
      <c r="A13" s="271" t="s">
        <v>266</v>
      </c>
      <c r="B13" s="602">
        <v>108</v>
      </c>
      <c r="C13" s="602">
        <v>85</v>
      </c>
      <c r="D13" s="602">
        <v>6</v>
      </c>
      <c r="E13" s="602">
        <v>0</v>
      </c>
      <c r="F13" s="601">
        <f t="shared" si="0"/>
        <v>199</v>
      </c>
      <c r="G13" s="272" t="s">
        <v>266</v>
      </c>
    </row>
    <row r="14" spans="1:11" ht="18.75" customHeight="1" thickBot="1">
      <c r="A14" s="271" t="s">
        <v>265</v>
      </c>
      <c r="B14" s="602">
        <v>35</v>
      </c>
      <c r="C14" s="602">
        <v>51</v>
      </c>
      <c r="D14" s="602">
        <v>8</v>
      </c>
      <c r="E14" s="602">
        <v>0</v>
      </c>
      <c r="F14" s="601">
        <f t="shared" si="0"/>
        <v>94</v>
      </c>
      <c r="G14" s="272" t="s">
        <v>265</v>
      </c>
    </row>
    <row r="15" spans="1:11" ht="18.75" customHeight="1" thickBot="1">
      <c r="A15" s="271" t="s">
        <v>264</v>
      </c>
      <c r="B15" s="602">
        <v>11</v>
      </c>
      <c r="C15" s="602">
        <v>25</v>
      </c>
      <c r="D15" s="602">
        <v>2</v>
      </c>
      <c r="E15" s="602">
        <v>0</v>
      </c>
      <c r="F15" s="601">
        <f t="shared" si="0"/>
        <v>38</v>
      </c>
      <c r="G15" s="272" t="s">
        <v>264</v>
      </c>
    </row>
    <row r="16" spans="1:11" ht="18.75" customHeight="1" thickBot="1">
      <c r="A16" s="271" t="s">
        <v>263</v>
      </c>
      <c r="B16" s="602">
        <v>4</v>
      </c>
      <c r="C16" s="602">
        <v>8</v>
      </c>
      <c r="D16" s="602">
        <v>1</v>
      </c>
      <c r="E16" s="602">
        <v>0</v>
      </c>
      <c r="F16" s="601">
        <f t="shared" si="0"/>
        <v>13</v>
      </c>
      <c r="G16" s="272" t="s">
        <v>263</v>
      </c>
    </row>
    <row r="17" spans="1:7" ht="18.75" customHeight="1" thickBot="1">
      <c r="A17" s="271" t="s">
        <v>262</v>
      </c>
      <c r="B17" s="602">
        <v>1</v>
      </c>
      <c r="C17" s="602">
        <v>5</v>
      </c>
      <c r="D17" s="602">
        <v>0</v>
      </c>
      <c r="E17" s="602">
        <v>0</v>
      </c>
      <c r="F17" s="601">
        <f t="shared" si="0"/>
        <v>6</v>
      </c>
      <c r="G17" s="272" t="s">
        <v>262</v>
      </c>
    </row>
    <row r="18" spans="1:7" ht="18.75" customHeight="1" thickBot="1">
      <c r="A18" s="271" t="s">
        <v>275</v>
      </c>
      <c r="B18" s="602">
        <v>0</v>
      </c>
      <c r="C18" s="602">
        <v>2</v>
      </c>
      <c r="D18" s="602">
        <v>0</v>
      </c>
      <c r="E18" s="602">
        <v>0</v>
      </c>
      <c r="F18" s="601">
        <f t="shared" si="0"/>
        <v>2</v>
      </c>
      <c r="G18" s="272" t="s">
        <v>275</v>
      </c>
    </row>
    <row r="19" spans="1:7" ht="18.75" customHeight="1">
      <c r="A19" s="289" t="s">
        <v>19</v>
      </c>
      <c r="B19" s="604">
        <v>0</v>
      </c>
      <c r="C19" s="604">
        <v>0</v>
      </c>
      <c r="D19" s="604">
        <v>0</v>
      </c>
      <c r="E19" s="604">
        <v>0</v>
      </c>
      <c r="F19" s="770">
        <f t="shared" si="0"/>
        <v>0</v>
      </c>
      <c r="G19" s="290" t="s">
        <v>20</v>
      </c>
    </row>
    <row r="20" spans="1:7" ht="18.75" customHeight="1">
      <c r="A20" s="745" t="s">
        <v>21</v>
      </c>
      <c r="B20" s="746">
        <f>SUBTOTAL(109,Table_Default__XLS_TAB_14_3[NOT_MARRIED])</f>
        <v>3106</v>
      </c>
      <c r="C20" s="746">
        <f>SUBTOTAL(109,Table_Default__XLS_TAB_14_3[DIVORCES])</f>
        <v>587</v>
      </c>
      <c r="D20" s="746">
        <f>SUBTOTAL(109,Table_Default__XLS_TAB_14_3[WIDOWED])</f>
        <v>31</v>
      </c>
      <c r="E20" s="746">
        <f>SUBTOTAL(109,Table_Default__XLS_TAB_14_3[NOT_STATED])</f>
        <v>0</v>
      </c>
      <c r="F20" s="746">
        <f>SUBTOTAL(109,Table_Default__XLS_TAB_14_3[TOTAL])</f>
        <v>3724</v>
      </c>
      <c r="G20" s="747" t="s">
        <v>176</v>
      </c>
    </row>
    <row r="21" spans="1:7" ht="18.75" customHeight="1">
      <c r="A21" s="297" t="s">
        <v>292</v>
      </c>
      <c r="B21" s="610">
        <f>B20/$F$20%</f>
        <v>83.404940923737911</v>
      </c>
      <c r="C21" s="610">
        <f>C20/$F$20%</f>
        <v>15.762620837808807</v>
      </c>
      <c r="D21" s="610">
        <f>D20/$F$20%</f>
        <v>0.83243823845327602</v>
      </c>
      <c r="E21" s="610">
        <f>E20/$F$20%</f>
        <v>0</v>
      </c>
      <c r="F21" s="610">
        <f>F20/$F$20%</f>
        <v>100</v>
      </c>
      <c r="G21" s="298" t="s">
        <v>24</v>
      </c>
    </row>
  </sheetData>
  <mergeCells count="7">
    <mergeCell ref="A7:A8"/>
    <mergeCell ref="B7:F7"/>
    <mergeCell ref="G7:G8"/>
    <mergeCell ref="A1:G1"/>
    <mergeCell ref="A2:G2"/>
    <mergeCell ref="A3:G3"/>
    <mergeCell ref="A4:G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rightToLeft="1" view="pageBreakPreview" zoomScaleNormal="100" zoomScaleSheetLayoutView="100" workbookViewId="0">
      <selection activeCell="A3" sqref="A3:F3"/>
    </sheetView>
  </sheetViews>
  <sheetFormatPr defaultColWidth="9.140625" defaultRowHeight="12.75"/>
  <cols>
    <col min="1" max="1" width="27.5703125" style="2" customWidth="1"/>
    <col min="2" max="5" width="19.7109375" style="2" customWidth="1"/>
    <col min="6" max="6" width="26.140625" style="2" customWidth="1"/>
    <col min="7" max="16384" width="9.140625" style="2"/>
  </cols>
  <sheetData>
    <row r="1" spans="1:10" ht="21.75" customHeight="1">
      <c r="A1" s="934" t="s">
        <v>347</v>
      </c>
      <c r="B1" s="934"/>
      <c r="C1" s="994"/>
      <c r="D1" s="934"/>
      <c r="E1" s="934"/>
      <c r="F1" s="934"/>
    </row>
    <row r="2" spans="1:10" ht="15.75">
      <c r="A2" s="958" t="s">
        <v>346</v>
      </c>
      <c r="B2" s="958"/>
      <c r="C2" s="958"/>
      <c r="D2" s="958"/>
      <c r="E2" s="958"/>
      <c r="F2" s="958"/>
    </row>
    <row r="3" spans="1:10" ht="18" customHeight="1">
      <c r="A3" s="959">
        <v>2015</v>
      </c>
      <c r="B3" s="959"/>
      <c r="C3" s="959"/>
      <c r="D3" s="959"/>
      <c r="E3" s="959"/>
      <c r="F3" s="959"/>
      <c r="G3" s="125"/>
      <c r="H3" s="125"/>
      <c r="I3" s="125"/>
      <c r="J3" s="125"/>
    </row>
    <row r="4" spans="1:10" ht="15.75">
      <c r="A4" s="959" t="s">
        <v>173</v>
      </c>
      <c r="B4" s="959"/>
      <c r="C4" s="959"/>
      <c r="D4" s="959"/>
      <c r="E4" s="959"/>
      <c r="F4" s="959"/>
    </row>
    <row r="5" spans="1:10" ht="15.75">
      <c r="A5" s="635"/>
      <c r="B5" s="635"/>
      <c r="C5" s="635"/>
      <c r="D5" s="635"/>
      <c r="E5" s="635"/>
      <c r="F5" s="635"/>
    </row>
    <row r="6" spans="1:10" s="93" customFormat="1" ht="15.75">
      <c r="A6" s="648" t="s">
        <v>379</v>
      </c>
      <c r="B6" s="649"/>
      <c r="C6" s="649"/>
      <c r="D6" s="649"/>
      <c r="E6" s="649"/>
      <c r="F6" s="650" t="s">
        <v>378</v>
      </c>
    </row>
    <row r="7" spans="1:10" ht="45" customHeight="1">
      <c r="A7" s="303" t="s">
        <v>343</v>
      </c>
      <c r="B7" s="303" t="s">
        <v>342</v>
      </c>
      <c r="C7" s="303" t="s">
        <v>341</v>
      </c>
      <c r="D7" s="303" t="s">
        <v>256</v>
      </c>
      <c r="E7" s="303" t="s">
        <v>340</v>
      </c>
      <c r="F7" s="303" t="s">
        <v>339</v>
      </c>
    </row>
    <row r="8" spans="1:10" ht="20.25" customHeight="1" thickBot="1">
      <c r="A8" s="302" t="s">
        <v>950</v>
      </c>
      <c r="B8" s="600">
        <v>45</v>
      </c>
      <c r="C8" s="600">
        <v>325</v>
      </c>
      <c r="D8" s="601">
        <v>370</v>
      </c>
      <c r="E8" s="612">
        <v>11.798469387755102</v>
      </c>
      <c r="F8" s="304" t="s">
        <v>950</v>
      </c>
      <c r="H8" s="2" t="s">
        <v>276</v>
      </c>
      <c r="I8" s="313">
        <f>SUM(B8:B12)</f>
        <v>1482</v>
      </c>
      <c r="J8" s="313">
        <f>SUM(C8:C12)</f>
        <v>1610</v>
      </c>
    </row>
    <row r="9" spans="1:10" ht="20.25" customHeight="1" thickBot="1">
      <c r="A9" s="301" t="s">
        <v>10</v>
      </c>
      <c r="B9" s="602">
        <v>642</v>
      </c>
      <c r="C9" s="602">
        <v>803</v>
      </c>
      <c r="D9" s="603">
        <v>1445</v>
      </c>
      <c r="E9" s="613">
        <v>46.077806122448976</v>
      </c>
      <c r="F9" s="305" t="s">
        <v>10</v>
      </c>
      <c r="H9" s="2" t="s">
        <v>269</v>
      </c>
      <c r="I9" s="313">
        <f>SUM(B13:B17)</f>
        <v>18</v>
      </c>
      <c r="J9" s="313">
        <f>SUM(C13:C17)</f>
        <v>26</v>
      </c>
    </row>
    <row r="10" spans="1:10" ht="20.25" customHeight="1" thickBot="1">
      <c r="A10" s="301" t="s">
        <v>268</v>
      </c>
      <c r="B10" s="602">
        <v>603</v>
      </c>
      <c r="C10" s="602">
        <v>344</v>
      </c>
      <c r="D10" s="603">
        <v>947</v>
      </c>
      <c r="E10" s="613">
        <v>30.197704081632654</v>
      </c>
      <c r="F10" s="305" t="s">
        <v>268</v>
      </c>
      <c r="I10" s="557">
        <v>552</v>
      </c>
      <c r="J10" s="557">
        <v>287</v>
      </c>
    </row>
    <row r="11" spans="1:10" ht="20.25" customHeight="1" thickBot="1">
      <c r="A11" s="301" t="s">
        <v>267</v>
      </c>
      <c r="B11" s="602">
        <v>150</v>
      </c>
      <c r="C11" s="602">
        <v>112</v>
      </c>
      <c r="D11" s="603">
        <v>262</v>
      </c>
      <c r="E11" s="613">
        <v>8.3545918367346932</v>
      </c>
      <c r="F11" s="305" t="s">
        <v>267</v>
      </c>
      <c r="I11" s="333">
        <v>190</v>
      </c>
      <c r="J11" s="333">
        <v>92</v>
      </c>
    </row>
    <row r="12" spans="1:10" ht="20.25" customHeight="1" thickBot="1">
      <c r="A12" s="301" t="s">
        <v>266</v>
      </c>
      <c r="B12" s="602">
        <v>42</v>
      </c>
      <c r="C12" s="602">
        <v>26</v>
      </c>
      <c r="D12" s="603">
        <v>68</v>
      </c>
      <c r="E12" s="613">
        <v>2.1683673469387754</v>
      </c>
      <c r="F12" s="305" t="s">
        <v>266</v>
      </c>
      <c r="I12" s="557">
        <v>37</v>
      </c>
      <c r="J12" s="557">
        <v>33</v>
      </c>
    </row>
    <row r="13" spans="1:10" ht="20.25" customHeight="1" thickBot="1">
      <c r="A13" s="301" t="s">
        <v>265</v>
      </c>
      <c r="B13" s="602">
        <v>6</v>
      </c>
      <c r="C13" s="602">
        <v>18</v>
      </c>
      <c r="D13" s="603">
        <v>24</v>
      </c>
      <c r="E13" s="613">
        <v>0.76530612244897955</v>
      </c>
      <c r="F13" s="305" t="s">
        <v>265</v>
      </c>
      <c r="I13" s="333">
        <v>20</v>
      </c>
      <c r="J13" s="333">
        <v>7</v>
      </c>
    </row>
    <row r="14" spans="1:10" ht="20.25" customHeight="1" thickBot="1">
      <c r="A14" s="301" t="s">
        <v>264</v>
      </c>
      <c r="B14" s="602">
        <v>6</v>
      </c>
      <c r="C14" s="602">
        <v>6</v>
      </c>
      <c r="D14" s="603">
        <v>12</v>
      </c>
      <c r="E14" s="613">
        <v>0.38265306122448978</v>
      </c>
      <c r="F14" s="305" t="s">
        <v>264</v>
      </c>
      <c r="I14" s="557">
        <v>9</v>
      </c>
      <c r="J14" s="557">
        <v>6</v>
      </c>
    </row>
    <row r="15" spans="1:10" ht="20.25" customHeight="1" thickBot="1">
      <c r="A15" s="301" t="s">
        <v>263</v>
      </c>
      <c r="B15" s="602">
        <v>4</v>
      </c>
      <c r="C15" s="602">
        <v>2</v>
      </c>
      <c r="D15" s="603">
        <v>6</v>
      </c>
      <c r="E15" s="613">
        <v>0.19132653061224489</v>
      </c>
      <c r="F15" s="305" t="s">
        <v>263</v>
      </c>
      <c r="I15" s="333">
        <v>2</v>
      </c>
      <c r="J15" s="333">
        <v>2</v>
      </c>
    </row>
    <row r="16" spans="1:10" ht="20.25" customHeight="1" thickBot="1">
      <c r="A16" s="301" t="s">
        <v>338</v>
      </c>
      <c r="B16" s="602">
        <v>2</v>
      </c>
      <c r="C16" s="602">
        <v>0</v>
      </c>
      <c r="D16" s="603">
        <v>2</v>
      </c>
      <c r="E16" s="613">
        <v>6.3775510204081634E-2</v>
      </c>
      <c r="F16" s="305" t="s">
        <v>338</v>
      </c>
      <c r="I16" s="557">
        <v>0</v>
      </c>
      <c r="J16" s="557">
        <v>0</v>
      </c>
    </row>
    <row r="17" spans="1:6" ht="20.25" customHeight="1">
      <c r="A17" s="626" t="s">
        <v>19</v>
      </c>
      <c r="B17" s="604">
        <v>0</v>
      </c>
      <c r="C17" s="604">
        <v>0</v>
      </c>
      <c r="D17" s="605">
        <v>0</v>
      </c>
      <c r="E17" s="627">
        <v>0</v>
      </c>
      <c r="F17" s="628" t="s">
        <v>20</v>
      </c>
    </row>
    <row r="18" spans="1:6" ht="20.25" customHeight="1">
      <c r="A18" s="748" t="s">
        <v>21</v>
      </c>
      <c r="B18" s="749">
        <f>SUBTOTAL(109,Table_Default__XLS_TAB_15_1[HUSBD_CNT])</f>
        <v>1500</v>
      </c>
      <c r="C18" s="749">
        <f>SUBTOTAL(109,Table_Default__XLS_TAB_15_1[WIFE_CNT])</f>
        <v>1636</v>
      </c>
      <c r="D18" s="749">
        <f>SUBTOTAL(109,Table_Default__XLS_TAB_15_1[TOTAL])</f>
        <v>3136</v>
      </c>
      <c r="E18" s="750">
        <f>SUBTOTAL(109,Table_Default__XLS_TAB_15_1[PSTG])</f>
        <v>100</v>
      </c>
      <c r="F18" s="751" t="s">
        <v>176</v>
      </c>
    </row>
    <row r="19" spans="1:6" ht="20.25" customHeight="1">
      <c r="A19" s="622"/>
      <c r="B19" s="623"/>
      <c r="C19" s="623"/>
      <c r="D19" s="623"/>
      <c r="E19" s="624"/>
      <c r="F19" s="625"/>
    </row>
  </sheetData>
  <mergeCells count="4">
    <mergeCell ref="A1:F1"/>
    <mergeCell ref="A2:F2"/>
    <mergeCell ref="A3:F3"/>
    <mergeCell ref="A4:F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5"/>
  <sheetViews>
    <sheetView rightToLeft="1" view="pageBreakPreview" zoomScaleNormal="100" zoomScaleSheetLayoutView="100" workbookViewId="0">
      <selection activeCell="I10" sqref="I10"/>
    </sheetView>
  </sheetViews>
  <sheetFormatPr defaultColWidth="9.140625" defaultRowHeight="12.75"/>
  <cols>
    <col min="1" max="1" width="40.7109375" style="5" customWidth="1"/>
    <col min="2" max="3" width="9.140625" style="36"/>
    <col min="4" max="4" width="41.7109375" style="5" customWidth="1"/>
    <col min="5" max="16384" width="9.140625" style="5"/>
  </cols>
  <sheetData>
    <row r="1" spans="1:4" ht="31.5" customHeight="1">
      <c r="A1" s="912" t="s">
        <v>75</v>
      </c>
      <c r="B1" s="912"/>
      <c r="C1" s="912"/>
      <c r="D1" s="912"/>
    </row>
    <row r="2" spans="1:4" ht="7.5" customHeight="1">
      <c r="A2" s="50"/>
      <c r="B2" s="49"/>
    </row>
    <row r="3" spans="1:4" ht="45.75" customHeight="1">
      <c r="A3" s="894" t="s">
        <v>74</v>
      </c>
      <c r="B3" s="896" t="s">
        <v>73</v>
      </c>
      <c r="C3" s="896" t="s">
        <v>69</v>
      </c>
      <c r="D3" s="894" t="s">
        <v>72</v>
      </c>
    </row>
    <row r="4" spans="1:4" ht="20.25" customHeight="1">
      <c r="A4" s="901"/>
      <c r="B4" s="902"/>
      <c r="C4" s="902"/>
      <c r="D4" s="903"/>
    </row>
    <row r="5" spans="1:4" s="39" customFormat="1" ht="30.75" customHeight="1">
      <c r="A5" s="885" t="s">
        <v>1248</v>
      </c>
      <c r="B5" s="40">
        <v>1</v>
      </c>
      <c r="C5" s="40"/>
      <c r="D5" s="904" t="s">
        <v>1229</v>
      </c>
    </row>
    <row r="6" spans="1:4" s="39" customFormat="1" ht="25.5">
      <c r="A6" s="885" t="s">
        <v>1249</v>
      </c>
      <c r="B6" s="40">
        <v>2</v>
      </c>
      <c r="C6" s="40"/>
      <c r="D6" s="904" t="s">
        <v>1230</v>
      </c>
    </row>
    <row r="7" spans="1:4" s="39" customFormat="1">
      <c r="A7" s="885" t="s">
        <v>1250</v>
      </c>
      <c r="B7" s="40">
        <v>3</v>
      </c>
      <c r="C7" s="40"/>
      <c r="D7" s="904" t="s">
        <v>1231</v>
      </c>
    </row>
    <row r="8" spans="1:4" s="39" customFormat="1" ht="16.5" customHeight="1">
      <c r="A8" s="885" t="s">
        <v>1251</v>
      </c>
      <c r="B8" s="40">
        <v>4</v>
      </c>
      <c r="C8" s="40"/>
      <c r="D8" s="904" t="s">
        <v>1232</v>
      </c>
    </row>
    <row r="9" spans="1:4" s="39" customFormat="1" ht="36">
      <c r="A9" s="885" t="s">
        <v>1252</v>
      </c>
      <c r="B9" s="40">
        <v>5</v>
      </c>
      <c r="C9" s="40"/>
      <c r="D9" s="904" t="s">
        <v>1233</v>
      </c>
    </row>
    <row r="10" spans="1:4" s="39" customFormat="1">
      <c r="A10" s="885" t="s">
        <v>1253</v>
      </c>
      <c r="B10" s="40">
        <v>6</v>
      </c>
      <c r="C10" s="40"/>
      <c r="D10" s="904" t="s">
        <v>1234</v>
      </c>
    </row>
    <row r="11" spans="1:4" s="39" customFormat="1" ht="25.5">
      <c r="A11" s="885" t="s">
        <v>1254</v>
      </c>
      <c r="B11" s="40">
        <v>7</v>
      </c>
      <c r="C11" s="40"/>
      <c r="D11" s="904" t="s">
        <v>1235</v>
      </c>
    </row>
    <row r="12" spans="1:4" s="39" customFormat="1" ht="24">
      <c r="A12" s="885" t="s">
        <v>1255</v>
      </c>
      <c r="B12" s="40">
        <v>8</v>
      </c>
      <c r="C12" s="40"/>
      <c r="D12" s="904" t="s">
        <v>1236</v>
      </c>
    </row>
    <row r="13" spans="1:4" s="39" customFormat="1" ht="25.5">
      <c r="A13" s="885" t="s">
        <v>1256</v>
      </c>
      <c r="B13" s="40">
        <v>9</v>
      </c>
      <c r="C13" s="40"/>
      <c r="D13" s="904" t="s">
        <v>1079</v>
      </c>
    </row>
    <row r="14" spans="1:4" s="39" customFormat="1">
      <c r="A14" s="885" t="s">
        <v>1257</v>
      </c>
      <c r="B14" s="40">
        <v>10</v>
      </c>
      <c r="C14" s="40"/>
      <c r="D14" s="904" t="s">
        <v>1237</v>
      </c>
    </row>
    <row r="15" spans="1:4" s="39" customFormat="1" ht="36">
      <c r="A15" s="885" t="s">
        <v>1258</v>
      </c>
      <c r="B15" s="40">
        <v>11</v>
      </c>
      <c r="C15" s="40"/>
      <c r="D15" s="904" t="s">
        <v>1238</v>
      </c>
    </row>
    <row r="16" spans="1:4" s="39" customFormat="1" ht="24">
      <c r="A16" s="885" t="s">
        <v>1259</v>
      </c>
      <c r="B16" s="40">
        <v>12</v>
      </c>
      <c r="C16" s="40"/>
      <c r="D16" s="904" t="s">
        <v>1239</v>
      </c>
    </row>
    <row r="17" spans="1:4" s="39" customFormat="1">
      <c r="A17" s="885" t="s">
        <v>1260</v>
      </c>
      <c r="B17" s="40">
        <v>13</v>
      </c>
      <c r="C17" s="40"/>
      <c r="D17" s="904" t="s">
        <v>1240</v>
      </c>
    </row>
    <row r="18" spans="1:4" s="39" customFormat="1">
      <c r="A18" s="885" t="s">
        <v>1261</v>
      </c>
      <c r="B18" s="40">
        <v>14</v>
      </c>
      <c r="C18" s="40"/>
      <c r="D18" s="904" t="s">
        <v>1241</v>
      </c>
    </row>
    <row r="19" spans="1:4" s="39" customFormat="1" ht="24">
      <c r="A19" s="885" t="s">
        <v>1207</v>
      </c>
      <c r="B19" s="40">
        <v>15</v>
      </c>
      <c r="C19" s="40"/>
      <c r="D19" s="904" t="s">
        <v>1242</v>
      </c>
    </row>
    <row r="20" spans="1:4" s="39" customFormat="1" ht="25.5">
      <c r="A20" s="885" t="s">
        <v>1262</v>
      </c>
      <c r="B20" s="40">
        <v>16</v>
      </c>
      <c r="C20" s="40"/>
      <c r="D20" s="904" t="s">
        <v>1243</v>
      </c>
    </row>
    <row r="21" spans="1:4" s="39" customFormat="1" ht="24">
      <c r="A21" s="885" t="s">
        <v>1018</v>
      </c>
      <c r="B21" s="40">
        <v>17</v>
      </c>
      <c r="C21" s="40"/>
      <c r="D21" s="904" t="s">
        <v>1244</v>
      </c>
    </row>
    <row r="22" spans="1:4" s="39" customFormat="1" ht="36">
      <c r="A22" s="885" t="s">
        <v>1218</v>
      </c>
      <c r="B22" s="40">
        <v>18</v>
      </c>
      <c r="C22" s="40"/>
      <c r="D22" s="904" t="s">
        <v>1245</v>
      </c>
    </row>
    <row r="23" spans="1:4" s="39" customFormat="1" ht="36">
      <c r="A23" s="885" t="s">
        <v>1219</v>
      </c>
      <c r="B23" s="40">
        <v>19</v>
      </c>
      <c r="C23" s="40"/>
      <c r="D23" s="904" t="s">
        <v>1246</v>
      </c>
    </row>
    <row r="24" spans="1:4" s="39" customFormat="1" ht="25.5">
      <c r="A24" s="885" t="s">
        <v>1263</v>
      </c>
      <c r="B24" s="40">
        <v>20</v>
      </c>
      <c r="C24" s="40"/>
      <c r="D24" s="904" t="s">
        <v>1247</v>
      </c>
    </row>
    <row r="25" spans="1:4" s="39" customFormat="1" ht="25.5">
      <c r="A25" s="885" t="s">
        <v>1220</v>
      </c>
      <c r="B25" s="40">
        <v>21</v>
      </c>
      <c r="C25" s="40"/>
      <c r="D25" s="904" t="s">
        <v>1131</v>
      </c>
    </row>
    <row r="26" spans="1:4" s="39" customFormat="1" ht="25.5">
      <c r="A26" s="885" t="s">
        <v>1221</v>
      </c>
      <c r="B26" s="40">
        <v>22</v>
      </c>
      <c r="C26" s="40"/>
      <c r="D26" s="904" t="s">
        <v>1132</v>
      </c>
    </row>
    <row r="27" spans="1:4" s="39" customFormat="1" ht="25.5">
      <c r="A27" s="885" t="s">
        <v>1222</v>
      </c>
      <c r="B27" s="40">
        <v>23</v>
      </c>
      <c r="C27" s="40"/>
      <c r="D27" s="904" t="s">
        <v>1133</v>
      </c>
    </row>
    <row r="28" spans="1:4" s="39" customFormat="1" ht="25.5">
      <c r="A28" s="897" t="s">
        <v>1226</v>
      </c>
      <c r="B28" s="899">
        <v>24</v>
      </c>
      <c r="C28" s="899"/>
      <c r="D28" s="905" t="s">
        <v>1137</v>
      </c>
    </row>
    <row r="84" spans="1:4" ht="13.5" thickBot="1">
      <c r="A84" s="687"/>
      <c r="B84" s="688"/>
      <c r="C84" s="688"/>
      <c r="D84" s="689"/>
    </row>
    <row r="85" spans="1:4" ht="13.5" thickTop="1"/>
  </sheetData>
  <mergeCells count="1">
    <mergeCell ref="A1:D1"/>
  </mergeCells>
  <hyperlinks>
    <hyperlink ref="A5:D5" location="'GR-1'!A1" display="'GR-1'!A1"/>
    <hyperlink ref="A6:D6" location="'GR-2'!A1" display="'GR-2'!A1"/>
    <hyperlink ref="A7:D7" location="'GR-3'!A1" display="معدلات الزواج والطلاق الخام (2000 - 2009)"/>
    <hyperlink ref="A8:D8" location="'GR-4'!A1" display="معدل الزواج العام (2000 - 2009)"/>
    <hyperlink ref="A9:D9" location="'GR-5'!A1" display="عقود الزواج حسب جنسية الزوج والزوجة ومكان إقامة الزوج (2009)"/>
    <hyperlink ref="A10:D10" location="'GR-6'!A1" display="عقود الزواج المسجلة حسب جنسية الزوج (2009)"/>
    <hyperlink ref="A11:D11" location="'GR-7'!A1" display="عقود الزواج المسجلة حسب الحالة التعليمية للزوجة و الزوج (2009)"/>
    <hyperlink ref="A12:D12" location="'GR-8 '!Print_Area" display="عقود الزواج المسجلة حسب مهنة الزوج والزوجة (2010)"/>
    <hyperlink ref="A14:D14" location="'GR-10'!Print_Area" display="معدل الطلاق العام (2001 - 2010)"/>
    <hyperlink ref="A15:D15" location="'GR11'!Print_Area" display="إشهادات الطلاق حسب جنسية الزوج والزوجة ومكان إقامة الزوج (2010)"/>
    <hyperlink ref="A16:D16" location="'GR12'!Print_Area" display="أشهادات الطلاق حسب جنسية الزوج والشهر (2010)"/>
    <hyperlink ref="A17:D17" location="'GR13'!Print_Area" display="أشهادات الطلاق حسب نوع الطلاق (2010) ) (قطريون)"/>
    <hyperlink ref="A18:D18" location="'GR14'!Print_Area" display="أشهادات الطلاق حسب جنسية الزوج (2010)"/>
    <hyperlink ref="A19:D19" location="'GR15'!Print_Area" display="أشهادات الطلاق حسب جنسية الزوجة والزوج (2010)"/>
    <hyperlink ref="A20:D20" location="'GR16'!Print_Area" display="أشهادات الطلاق حسب الحالة التعليمية للزوجة والزوج (2010)"/>
    <hyperlink ref="A21:D21" location="'GR17'!Print_Area" display="أشهادات الطلاق حسب مهنة الزوجة والزوج (2010)"/>
    <hyperlink ref="A22:D22" location="'GR18'!Print_Area" display="إشهادات الطلاق للقطريين حسب صلة القرابة وفئة عمر الزوج والزوجة (القرابة من الدرجة الأولى) (2010)"/>
    <hyperlink ref="A23:D23" location="'GR19'!Print_Area" display="إشهادات الطلاق للقطريين حسب صلة القرابة وفئة عمر الزوج والزوجة (القرابة من الدرجة الثانية) (2010)"/>
    <hyperlink ref="A24:D24" location="'GR20'!Print_Area" display="إشهادات الطلاق للقطريين حسب صلة القرابة وفئة عمر الزوج والزوجة (لا توجد صلة قرابة) (2010)"/>
    <hyperlink ref="A25:D25" location="'GR21'!Print_Area" display="عدد الأبناء للمطلقة حسب فئة عمرالزوج والزوجة (قطريات) (2010)"/>
    <hyperlink ref="A26:D26" location="'GR22'!Print_Area" display="عدد الأبناء للمطلقة حسب فئة عمرالزوج والزوجة (غير قطريات) (2010)"/>
    <hyperlink ref="A27:D27" location="'GR23'!Print_Area" display="عدد الأبناء للمطلقة حسب فئة عمرالزوج والزوجة (المجموع) (2010)"/>
    <hyperlink ref="A13:D13" location="'GR9'!Print_Area" display="عقود الزواج حسب عدد أبناء الزوجة وجنسية الزوج والزوجة (2010)"/>
    <hyperlink ref="A28:D28" location="'GR24'!A1" display="إشهادات الطلاق حسب عدد أبناء الزوجة وجنسية الزوج والزوجة (2010)"/>
    <hyperlink ref="D5" r:id="rId1" location="'GR-1'!A1" display="Bulletin_Marriages_Divorces_DB_2013.xlsx - 'GR-1'!A1"/>
    <hyperlink ref="D6" r:id="rId2" location="'GR-2'!A1" display="Bulletin_Marriages_Divorces_DB_2013.xlsx - 'GR-2'!A1"/>
    <hyperlink ref="D7" r:id="rId3" location="'GR-3'!A1" display="Bulletin_Marriages_Divorces_DB_2013.xlsx - 'GR-3'!A1"/>
    <hyperlink ref="D8" r:id="rId4" location="'GR-4'!A1" display="Bulletin_Marriages_Divorces_DB_2013.xlsx - 'GR-4'!A1"/>
    <hyperlink ref="D9" r:id="rId5" location="'GR-5'!A1" display="Bulletin_Marriages_Divorces_DB_2013.xlsx - 'GR-5'!A1"/>
    <hyperlink ref="D10" r:id="rId6" location="'GR-6'!A1" display="Bulletin_Marriages_Divorces_DB_2013.xlsx - 'GR-6'!A1"/>
    <hyperlink ref="D11" r:id="rId7" location="'GR-7'!A1" display="Bulletin_Marriages_Divorces_DB_2013.xlsx - 'GR-7'!A1"/>
    <hyperlink ref="D12" r:id="rId8" location="'GR-8 '!Print_Area" display="Bulletin_Marriages_Divorces_DB_2013.xlsx - 'GR-8 '!Print_Area"/>
    <hyperlink ref="D13" r:id="rId9" location="'GR9'!Print_Area" display="Bulletin_Marriages_Divorces_DB_2013.xlsx - 'GR9'!Print_Area"/>
    <hyperlink ref="D14" r:id="rId10" location="'GR-10'!Print_Area" display="Bulletin_Marriages_Divorces_DB_2013.xlsx - 'GR-10'!Print_Area"/>
    <hyperlink ref="D15" r:id="rId11" location="'GR11'!Print_Area" display="Bulletin_Marriages_Divorces_DB_2013.xlsx - 'GR11'!Print_Area"/>
    <hyperlink ref="D16" r:id="rId12" location="'GR12'!Print_Area" display="Bulletin_Marriages_Divorces_DB_2013.xlsx - 'GR12'!Print_Area"/>
    <hyperlink ref="D17" r:id="rId13" location="'GR13'!Print_Area" display="Bulletin_Marriages_Divorces_DB_2013.xlsx - 'GR13'!Print_Area"/>
    <hyperlink ref="D18" r:id="rId14" location="'GR14'!Print_Area" display="Bulletin_Marriages_Divorces_DB_2013.xlsx - 'GR14'!Print_Area"/>
    <hyperlink ref="D19" r:id="rId15" location="'GR15'!Print_Area" display="Bulletin_Marriages_Divorces_DB_2013.xlsx - 'GR15'!Print_Area"/>
    <hyperlink ref="D20" r:id="rId16" location="'GR16'!Print_Area" display="Bulletin_Marriages_Divorces_DB_2013.xlsx - 'GR16'!Print_Area"/>
    <hyperlink ref="D21" r:id="rId17" location="'GR17'!Print_Area" display="Bulletin_Marriages_Divorces_DB_2013.xlsx - 'GR17'!Print_Area"/>
    <hyperlink ref="D22" r:id="rId18" location="'GR18'!Print_Area" display="Bulletin_Marriages_Divorces_DB_2013.xlsx - 'GR18'!Print_Area"/>
    <hyperlink ref="D23" r:id="rId19" location="'GR19'!Print_Area" display="Bulletin_Marriages_Divorces_DB_2013.xlsx - 'GR19'!Print_Area"/>
    <hyperlink ref="D24" r:id="rId20" location="'GR20'!Print_Area" display="Bulletin_Marriages_Divorces_DB_2013.xlsx - 'GR20'!Print_Area"/>
    <hyperlink ref="D25" r:id="rId21" location="'GR21'!Print_Area" display="Bulletin_Marriages_Divorces_DB_2013.xlsx - 'GR21'!Print_Area"/>
    <hyperlink ref="D26" r:id="rId22" location="'GR22'!Print_Area" display="Bulletin_Marriages_Divorces_DB_2013.xlsx - 'GR22'!Print_Area"/>
    <hyperlink ref="D27" r:id="rId23" location="'GR23'!Print_Area" display="Bulletin_Marriages_Divorces_DB_2013.xlsx - 'GR23'!Print_Area"/>
    <hyperlink ref="D28" r:id="rId24" location="'GR24'!A1" display="Bulletin_Marriages_Divorces_DB_2013.xlsx - 'GR24'!A1"/>
  </hyperlinks>
  <printOptions horizontalCentered="1"/>
  <pageMargins left="0" right="0" top="0.78740157480314965" bottom="0.39370078740157483" header="0.51181102362204722" footer="0.51181102362204722"/>
  <pageSetup paperSize="9" scale="98" orientation="portrait" r:id="rId2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rightToLeft="1" view="pageBreakPreview" zoomScaleNormal="100" zoomScaleSheetLayoutView="100" workbookViewId="0">
      <selection activeCell="A3" sqref="A3:F3"/>
    </sheetView>
  </sheetViews>
  <sheetFormatPr defaultColWidth="9.140625" defaultRowHeight="12.75"/>
  <cols>
    <col min="1" max="1" width="27.5703125" style="2" customWidth="1"/>
    <col min="2" max="5" width="19.7109375" style="2" customWidth="1"/>
    <col min="6" max="6" width="26.140625" style="2" customWidth="1"/>
    <col min="7" max="16384" width="9.140625" style="2"/>
  </cols>
  <sheetData>
    <row r="1" spans="1:10" ht="21.75" customHeight="1">
      <c r="A1" s="934" t="s">
        <v>347</v>
      </c>
      <c r="B1" s="934"/>
      <c r="C1" s="994"/>
      <c r="D1" s="934"/>
      <c r="E1" s="934"/>
      <c r="F1" s="934"/>
    </row>
    <row r="2" spans="1:10" ht="15.75">
      <c r="A2" s="958" t="s">
        <v>346</v>
      </c>
      <c r="B2" s="958"/>
      <c r="C2" s="958"/>
      <c r="D2" s="958"/>
      <c r="E2" s="958"/>
      <c r="F2" s="958"/>
    </row>
    <row r="3" spans="1:10" ht="18" customHeight="1">
      <c r="A3" s="959">
        <v>2015</v>
      </c>
      <c r="B3" s="959"/>
      <c r="C3" s="959"/>
      <c r="D3" s="959"/>
      <c r="E3" s="959"/>
      <c r="F3" s="959"/>
      <c r="G3" s="125"/>
      <c r="H3" s="125"/>
      <c r="I3" s="125"/>
      <c r="J3" s="125"/>
    </row>
    <row r="4" spans="1:10" ht="15.75">
      <c r="A4" s="959" t="s">
        <v>172</v>
      </c>
      <c r="B4" s="959"/>
      <c r="C4" s="959"/>
      <c r="D4" s="959"/>
      <c r="E4" s="959"/>
      <c r="F4" s="959"/>
    </row>
    <row r="5" spans="1:10" ht="15.75">
      <c r="A5" s="635"/>
      <c r="B5" s="635"/>
      <c r="C5" s="635"/>
      <c r="D5" s="635"/>
      <c r="E5" s="635"/>
      <c r="F5" s="635"/>
    </row>
    <row r="6" spans="1:10" s="93" customFormat="1" ht="15.75">
      <c r="A6" s="648" t="s">
        <v>383</v>
      </c>
      <c r="B6" s="649"/>
      <c r="C6" s="649"/>
      <c r="D6" s="649"/>
      <c r="E6" s="649"/>
      <c r="F6" s="650" t="s">
        <v>382</v>
      </c>
    </row>
    <row r="7" spans="1:10" ht="45" customHeight="1">
      <c r="A7" s="303" t="s">
        <v>343</v>
      </c>
      <c r="B7" s="303" t="s">
        <v>342</v>
      </c>
      <c r="C7" s="303" t="s">
        <v>341</v>
      </c>
      <c r="D7" s="303" t="s">
        <v>256</v>
      </c>
      <c r="E7" s="303" t="s">
        <v>340</v>
      </c>
      <c r="F7" s="303" t="s">
        <v>339</v>
      </c>
    </row>
    <row r="8" spans="1:10" ht="20.25" customHeight="1" thickBot="1">
      <c r="A8" s="302" t="s">
        <v>950</v>
      </c>
      <c r="B8" s="600">
        <v>14</v>
      </c>
      <c r="C8" s="600">
        <v>187</v>
      </c>
      <c r="D8" s="601">
        <v>201</v>
      </c>
      <c r="E8" s="612">
        <v>7.2826086956521738</v>
      </c>
      <c r="F8" s="304" t="s">
        <v>950</v>
      </c>
      <c r="I8" s="313">
        <f>SUM(B12:B16)</f>
        <v>103</v>
      </c>
      <c r="J8" s="313">
        <f>SUM(C12:C16)</f>
        <v>107</v>
      </c>
    </row>
    <row r="9" spans="1:10" ht="20.25" customHeight="1" thickBot="1">
      <c r="A9" s="301" t="s">
        <v>10</v>
      </c>
      <c r="B9" s="602">
        <v>287</v>
      </c>
      <c r="C9" s="602">
        <v>512</v>
      </c>
      <c r="D9" s="603">
        <v>799</v>
      </c>
      <c r="E9" s="613">
        <v>28.94927536231884</v>
      </c>
      <c r="F9" s="305" t="s">
        <v>10</v>
      </c>
      <c r="I9" s="313">
        <v>496</v>
      </c>
      <c r="J9" s="313">
        <v>358</v>
      </c>
    </row>
    <row r="10" spans="1:10" ht="20.25" customHeight="1" thickBot="1">
      <c r="A10" s="301" t="s">
        <v>268</v>
      </c>
      <c r="B10" s="602">
        <v>577</v>
      </c>
      <c r="C10" s="602">
        <v>475</v>
      </c>
      <c r="D10" s="603">
        <v>1052</v>
      </c>
      <c r="E10" s="613">
        <v>38.115942028985508</v>
      </c>
      <c r="F10" s="305" t="s">
        <v>268</v>
      </c>
      <c r="I10" s="557">
        <v>294</v>
      </c>
      <c r="J10" s="557">
        <v>150</v>
      </c>
    </row>
    <row r="11" spans="1:10" ht="20.25" customHeight="1" thickBot="1">
      <c r="A11" s="301" t="s">
        <v>267</v>
      </c>
      <c r="B11" s="602">
        <v>309</v>
      </c>
      <c r="C11" s="602">
        <v>189</v>
      </c>
      <c r="D11" s="603">
        <v>498</v>
      </c>
      <c r="E11" s="613">
        <v>18.043478260869566</v>
      </c>
      <c r="F11" s="305" t="s">
        <v>267</v>
      </c>
      <c r="I11" s="333">
        <v>77</v>
      </c>
      <c r="J11" s="333">
        <v>63</v>
      </c>
    </row>
    <row r="12" spans="1:10" ht="20.25" customHeight="1" thickBot="1">
      <c r="A12" s="301" t="s">
        <v>266</v>
      </c>
      <c r="B12" s="602">
        <v>75</v>
      </c>
      <c r="C12" s="602">
        <v>82</v>
      </c>
      <c r="D12" s="603">
        <v>157</v>
      </c>
      <c r="E12" s="613">
        <v>5.6884057971014492</v>
      </c>
      <c r="F12" s="305" t="s">
        <v>266</v>
      </c>
      <c r="I12" s="557">
        <v>24</v>
      </c>
      <c r="J12" s="557">
        <v>22</v>
      </c>
    </row>
    <row r="13" spans="1:10" ht="20.25" customHeight="1" thickBot="1">
      <c r="A13" s="301" t="s">
        <v>265</v>
      </c>
      <c r="B13" s="602">
        <v>20</v>
      </c>
      <c r="C13" s="602">
        <v>17</v>
      </c>
      <c r="D13" s="603">
        <v>37</v>
      </c>
      <c r="E13" s="613">
        <v>1.3405797101449275</v>
      </c>
      <c r="F13" s="305" t="s">
        <v>265</v>
      </c>
      <c r="I13" s="333">
        <v>10</v>
      </c>
      <c r="J13" s="333">
        <v>8</v>
      </c>
    </row>
    <row r="14" spans="1:10" ht="20.25" customHeight="1" thickBot="1">
      <c r="A14" s="301" t="s">
        <v>264</v>
      </c>
      <c r="B14" s="602">
        <v>5</v>
      </c>
      <c r="C14" s="602">
        <v>5</v>
      </c>
      <c r="D14" s="603">
        <v>10</v>
      </c>
      <c r="E14" s="613">
        <v>0.36231884057971014</v>
      </c>
      <c r="F14" s="305" t="s">
        <v>264</v>
      </c>
      <c r="I14" s="557">
        <v>3</v>
      </c>
      <c r="J14" s="557">
        <v>1</v>
      </c>
    </row>
    <row r="15" spans="1:10" ht="20.25" customHeight="1" thickBot="1">
      <c r="A15" s="301" t="s">
        <v>263</v>
      </c>
      <c r="B15" s="602">
        <v>1</v>
      </c>
      <c r="C15" s="602">
        <v>2</v>
      </c>
      <c r="D15" s="603">
        <v>3</v>
      </c>
      <c r="E15" s="613">
        <v>0.10869565217391304</v>
      </c>
      <c r="F15" s="305" t="s">
        <v>263</v>
      </c>
      <c r="I15" s="333">
        <v>1</v>
      </c>
      <c r="J15" s="333">
        <v>0</v>
      </c>
    </row>
    <row r="16" spans="1:10" ht="20.25" customHeight="1" thickBot="1">
      <c r="A16" s="301" t="s">
        <v>338</v>
      </c>
      <c r="B16" s="602">
        <v>2</v>
      </c>
      <c r="C16" s="602">
        <v>1</v>
      </c>
      <c r="D16" s="603">
        <v>3</v>
      </c>
      <c r="E16" s="613">
        <v>0.10869565217391304</v>
      </c>
      <c r="F16" s="305" t="s">
        <v>338</v>
      </c>
      <c r="I16" s="557"/>
      <c r="J16" s="557"/>
    </row>
    <row r="17" spans="1:6" ht="20.25" customHeight="1">
      <c r="A17" s="626" t="s">
        <v>19</v>
      </c>
      <c r="B17" s="604">
        <v>0</v>
      </c>
      <c r="C17" s="604">
        <v>0</v>
      </c>
      <c r="D17" s="605">
        <v>0</v>
      </c>
      <c r="E17" s="627">
        <v>0</v>
      </c>
      <c r="F17" s="628" t="s">
        <v>20</v>
      </c>
    </row>
    <row r="18" spans="1:6" ht="20.25" customHeight="1">
      <c r="A18" s="752" t="s">
        <v>21</v>
      </c>
      <c r="B18" s="753">
        <f>SUBTOTAL(109,Table_Default__XLS_TAB_15_2[HUSBD_CNT])</f>
        <v>1290</v>
      </c>
      <c r="C18" s="753">
        <f>SUBTOTAL(109,Table_Default__XLS_TAB_15_2[WIFE_CNT])</f>
        <v>1470</v>
      </c>
      <c r="D18" s="753">
        <f>SUBTOTAL(109,Table_Default__XLS_TAB_15_2[TOTAL])</f>
        <v>2760</v>
      </c>
      <c r="E18" s="754">
        <f>SUBTOTAL(109,Table_Default__XLS_TAB_15_2[PSTG])</f>
        <v>99.999999999999986</v>
      </c>
      <c r="F18" s="755" t="s">
        <v>176</v>
      </c>
    </row>
    <row r="19" spans="1:6" ht="20.25" customHeight="1">
      <c r="A19" s="622"/>
      <c r="B19" s="623"/>
      <c r="C19" s="623"/>
      <c r="D19" s="623"/>
      <c r="E19" s="624"/>
      <c r="F19" s="625"/>
    </row>
  </sheetData>
  <mergeCells count="4">
    <mergeCell ref="A1:F1"/>
    <mergeCell ref="A2:F2"/>
    <mergeCell ref="A3:F3"/>
    <mergeCell ref="A4:F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rightToLeft="1" view="pageBreakPreview" zoomScaleNormal="100" zoomScaleSheetLayoutView="100" workbookViewId="0">
      <selection activeCell="A3" sqref="A3:F3"/>
    </sheetView>
  </sheetViews>
  <sheetFormatPr defaultColWidth="9.140625" defaultRowHeight="12.75"/>
  <cols>
    <col min="1" max="1" width="27.5703125" style="2" customWidth="1"/>
    <col min="2" max="5" width="19.7109375" style="2" customWidth="1"/>
    <col min="6" max="6" width="26.140625" style="2" customWidth="1"/>
    <col min="7" max="16384" width="9.140625" style="2"/>
  </cols>
  <sheetData>
    <row r="1" spans="1:10" ht="21.75" customHeight="1">
      <c r="A1" s="934" t="s">
        <v>347</v>
      </c>
      <c r="B1" s="934"/>
      <c r="C1" s="994"/>
      <c r="D1" s="934"/>
      <c r="E1" s="934"/>
      <c r="F1" s="934"/>
    </row>
    <row r="2" spans="1:10" ht="15.75">
      <c r="A2" s="958" t="s">
        <v>346</v>
      </c>
      <c r="B2" s="958"/>
      <c r="C2" s="958"/>
      <c r="D2" s="958"/>
      <c r="E2" s="958"/>
      <c r="F2" s="958"/>
    </row>
    <row r="3" spans="1:10" ht="18" customHeight="1">
      <c r="A3" s="959">
        <v>2015</v>
      </c>
      <c r="B3" s="959"/>
      <c r="C3" s="959"/>
      <c r="D3" s="959"/>
      <c r="E3" s="959"/>
      <c r="F3" s="959"/>
      <c r="G3" s="125"/>
      <c r="H3" s="125"/>
      <c r="I3" s="125"/>
      <c r="J3" s="125"/>
    </row>
    <row r="4" spans="1:10" ht="15.75">
      <c r="A4" s="959" t="s">
        <v>1</v>
      </c>
      <c r="B4" s="959"/>
      <c r="C4" s="959"/>
      <c r="D4" s="959"/>
      <c r="E4" s="959"/>
      <c r="F4" s="959"/>
    </row>
    <row r="5" spans="1:10" ht="15.75">
      <c r="A5" s="635"/>
      <c r="B5" s="635"/>
      <c r="C5" s="635"/>
      <c r="D5" s="635"/>
      <c r="E5" s="635"/>
      <c r="F5" s="635"/>
    </row>
    <row r="6" spans="1:10" s="93" customFormat="1" ht="15.75">
      <c r="A6" s="648" t="s">
        <v>394</v>
      </c>
      <c r="B6" s="649"/>
      <c r="C6" s="649"/>
      <c r="D6" s="649"/>
      <c r="E6" s="649"/>
      <c r="F6" s="650" t="s">
        <v>393</v>
      </c>
    </row>
    <row r="7" spans="1:10" ht="45" customHeight="1">
      <c r="A7" s="303" t="s">
        <v>343</v>
      </c>
      <c r="B7" s="303" t="s">
        <v>342</v>
      </c>
      <c r="C7" s="303" t="s">
        <v>341</v>
      </c>
      <c r="D7" s="303" t="s">
        <v>256</v>
      </c>
      <c r="E7" s="303" t="s">
        <v>340</v>
      </c>
      <c r="F7" s="303" t="s">
        <v>339</v>
      </c>
    </row>
    <row r="8" spans="1:10" ht="20.25" customHeight="1" thickBot="1">
      <c r="A8" s="302" t="s">
        <v>950</v>
      </c>
      <c r="B8" s="600">
        <v>59</v>
      </c>
      <c r="C8" s="600">
        <v>512</v>
      </c>
      <c r="D8" s="601">
        <v>571</v>
      </c>
      <c r="E8" s="612">
        <v>9.6845318860244234</v>
      </c>
      <c r="F8" s="304" t="s">
        <v>950</v>
      </c>
      <c r="I8" s="313"/>
      <c r="J8" s="313"/>
    </row>
    <row r="9" spans="1:10" ht="20.25" customHeight="1" thickBot="1">
      <c r="A9" s="301" t="s">
        <v>10</v>
      </c>
      <c r="B9" s="602">
        <v>929</v>
      </c>
      <c r="C9" s="602">
        <v>1315</v>
      </c>
      <c r="D9" s="603">
        <v>2244</v>
      </c>
      <c r="E9" s="613">
        <v>38.059701492537314</v>
      </c>
      <c r="F9" s="305" t="s">
        <v>10</v>
      </c>
      <c r="I9" s="313"/>
      <c r="J9" s="313"/>
    </row>
    <row r="10" spans="1:10" ht="20.25" customHeight="1" thickBot="1">
      <c r="A10" s="301" t="s">
        <v>268</v>
      </c>
      <c r="B10" s="602">
        <v>1180</v>
      </c>
      <c r="C10" s="602">
        <v>819</v>
      </c>
      <c r="D10" s="603">
        <v>1999</v>
      </c>
      <c r="E10" s="613">
        <v>33.904341926729984</v>
      </c>
      <c r="F10" s="305" t="s">
        <v>268</v>
      </c>
      <c r="I10" s="557"/>
      <c r="J10" s="557"/>
    </row>
    <row r="11" spans="1:10" ht="20.25" customHeight="1" thickBot="1">
      <c r="A11" s="301" t="s">
        <v>267</v>
      </c>
      <c r="B11" s="602">
        <v>459</v>
      </c>
      <c r="C11" s="602">
        <v>301</v>
      </c>
      <c r="D11" s="603">
        <v>760</v>
      </c>
      <c r="E11" s="613">
        <v>12.890094979647218</v>
      </c>
      <c r="F11" s="305" t="s">
        <v>267</v>
      </c>
      <c r="I11" s="333"/>
      <c r="J11" s="333"/>
    </row>
    <row r="12" spans="1:10" ht="20.25" customHeight="1" thickBot="1">
      <c r="A12" s="301" t="s">
        <v>266</v>
      </c>
      <c r="B12" s="602">
        <v>117</v>
      </c>
      <c r="C12" s="602">
        <v>108</v>
      </c>
      <c r="D12" s="603">
        <v>225</v>
      </c>
      <c r="E12" s="613">
        <v>3.816146540027137</v>
      </c>
      <c r="F12" s="305" t="s">
        <v>266</v>
      </c>
      <c r="I12" s="557"/>
      <c r="J12" s="557"/>
    </row>
    <row r="13" spans="1:10" ht="20.25" customHeight="1" thickBot="1">
      <c r="A13" s="301" t="s">
        <v>265</v>
      </c>
      <c r="B13" s="602">
        <v>26</v>
      </c>
      <c r="C13" s="602">
        <v>35</v>
      </c>
      <c r="D13" s="603">
        <v>61</v>
      </c>
      <c r="E13" s="613">
        <v>1.0345997286295794</v>
      </c>
      <c r="F13" s="305" t="s">
        <v>265</v>
      </c>
      <c r="I13" s="333"/>
      <c r="J13" s="333"/>
    </row>
    <row r="14" spans="1:10" ht="20.25" customHeight="1" thickBot="1">
      <c r="A14" s="301" t="s">
        <v>264</v>
      </c>
      <c r="B14" s="602">
        <v>11</v>
      </c>
      <c r="C14" s="602">
        <v>11</v>
      </c>
      <c r="D14" s="603">
        <v>22</v>
      </c>
      <c r="E14" s="613">
        <v>0.37313432835820898</v>
      </c>
      <c r="F14" s="305" t="s">
        <v>264</v>
      </c>
      <c r="I14" s="557"/>
      <c r="J14" s="557"/>
    </row>
    <row r="15" spans="1:10" ht="20.25" customHeight="1" thickBot="1">
      <c r="A15" s="301" t="s">
        <v>263</v>
      </c>
      <c r="B15" s="602">
        <v>5</v>
      </c>
      <c r="C15" s="602">
        <v>4</v>
      </c>
      <c r="D15" s="603">
        <v>9</v>
      </c>
      <c r="E15" s="613">
        <v>0.15264586160108548</v>
      </c>
      <c r="F15" s="305" t="s">
        <v>263</v>
      </c>
      <c r="I15" s="333"/>
      <c r="J15" s="333"/>
    </row>
    <row r="16" spans="1:10" ht="20.25" customHeight="1" thickBot="1">
      <c r="A16" s="301" t="s">
        <v>338</v>
      </c>
      <c r="B16" s="602">
        <v>4</v>
      </c>
      <c r="C16" s="602">
        <v>1</v>
      </c>
      <c r="D16" s="603">
        <v>5</v>
      </c>
      <c r="E16" s="613">
        <v>8.4803256445047492E-2</v>
      </c>
      <c r="F16" s="305" t="s">
        <v>338</v>
      </c>
      <c r="I16" s="557"/>
      <c r="J16" s="557"/>
    </row>
    <row r="17" spans="1:6" ht="20.25" customHeight="1">
      <c r="A17" s="626" t="s">
        <v>19</v>
      </c>
      <c r="B17" s="604">
        <v>0</v>
      </c>
      <c r="C17" s="604">
        <v>0</v>
      </c>
      <c r="D17" s="605">
        <v>0</v>
      </c>
      <c r="E17" s="627">
        <v>0</v>
      </c>
      <c r="F17" s="628" t="s">
        <v>20</v>
      </c>
    </row>
    <row r="18" spans="1:6" ht="20.25" customHeight="1">
      <c r="A18" s="766" t="s">
        <v>21</v>
      </c>
      <c r="B18" s="767">
        <f>SUBTOTAL(109,Table_Default__XLS_TAB_15_3[HUSBD_CNT])</f>
        <v>2790</v>
      </c>
      <c r="C18" s="767">
        <f>SUBTOTAL(109,Table_Default__XLS_TAB_15_3[WIFE_CNT])</f>
        <v>3106</v>
      </c>
      <c r="D18" s="767">
        <f>SUBTOTAL(109,Table_Default__XLS_TAB_15_3[TOTAL])</f>
        <v>5896</v>
      </c>
      <c r="E18" s="768">
        <f>SUBTOTAL(109,Table_Default__XLS_TAB_15_3[PSTG])</f>
        <v>99.999999999999986</v>
      </c>
      <c r="F18" s="769" t="s">
        <v>176</v>
      </c>
    </row>
    <row r="19" spans="1:6" ht="20.25" customHeight="1">
      <c r="A19" s="622"/>
      <c r="B19" s="623"/>
      <c r="C19" s="623"/>
      <c r="D19" s="623"/>
      <c r="E19" s="624"/>
      <c r="F19" s="625"/>
    </row>
  </sheetData>
  <mergeCells count="4">
    <mergeCell ref="A1:F1"/>
    <mergeCell ref="A2:F2"/>
    <mergeCell ref="A3:F3"/>
    <mergeCell ref="A4:F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rightToLeft="1" view="pageBreakPreview" zoomScaleNormal="75" zoomScaleSheetLayoutView="100" workbookViewId="0">
      <selection activeCell="A3" sqref="A3:L3"/>
    </sheetView>
  </sheetViews>
  <sheetFormatPr defaultColWidth="9.140625" defaultRowHeight="12.75"/>
  <cols>
    <col min="1" max="1" width="16" style="2" customWidth="1"/>
    <col min="2" max="9" width="10.42578125" style="2" customWidth="1"/>
    <col min="10" max="10" width="8.28515625" style="2" customWidth="1"/>
    <col min="11" max="11" width="10.7109375" style="2" customWidth="1"/>
    <col min="12" max="12" width="19.42578125" style="2" customWidth="1"/>
    <col min="13" max="16384" width="9.140625" style="2"/>
  </cols>
  <sheetData>
    <row r="1" spans="1:12" ht="24" customHeight="1">
      <c r="A1" s="934" t="s">
        <v>381</v>
      </c>
      <c r="B1" s="934"/>
      <c r="C1" s="934"/>
      <c r="D1" s="934"/>
      <c r="E1" s="934"/>
      <c r="F1" s="934"/>
      <c r="G1" s="934"/>
      <c r="H1" s="934"/>
      <c r="I1" s="934"/>
      <c r="J1" s="934"/>
      <c r="K1" s="934"/>
      <c r="L1" s="934"/>
    </row>
    <row r="2" spans="1:12" s="3" customFormat="1" ht="18">
      <c r="A2" s="958" t="s">
        <v>380</v>
      </c>
      <c r="B2" s="958"/>
      <c r="C2" s="958"/>
      <c r="D2" s="958"/>
      <c r="E2" s="958"/>
      <c r="F2" s="958"/>
      <c r="G2" s="958"/>
      <c r="H2" s="958"/>
      <c r="I2" s="958"/>
      <c r="J2" s="958"/>
      <c r="K2" s="958"/>
      <c r="L2" s="958"/>
    </row>
    <row r="3" spans="1:12" ht="15.75">
      <c r="A3" s="959">
        <v>2015</v>
      </c>
      <c r="B3" s="959"/>
      <c r="C3" s="959"/>
      <c r="D3" s="959"/>
      <c r="E3" s="959"/>
      <c r="F3" s="959"/>
      <c r="G3" s="959"/>
      <c r="H3" s="959"/>
      <c r="I3" s="959"/>
      <c r="J3" s="959"/>
      <c r="K3" s="959"/>
      <c r="L3" s="959"/>
    </row>
    <row r="4" spans="1:12" ht="15.75">
      <c r="A4" s="959" t="s">
        <v>173</v>
      </c>
      <c r="B4" s="959"/>
      <c r="C4" s="959"/>
      <c r="D4" s="959"/>
      <c r="E4" s="959"/>
      <c r="F4" s="959"/>
      <c r="G4" s="959"/>
      <c r="H4" s="959"/>
      <c r="I4" s="959"/>
      <c r="J4" s="959"/>
      <c r="K4" s="959"/>
      <c r="L4" s="959"/>
    </row>
    <row r="5" spans="1:12" ht="15.75">
      <c r="A5" s="635"/>
      <c r="B5" s="635"/>
      <c r="C5" s="635"/>
      <c r="D5" s="635"/>
      <c r="E5" s="635"/>
      <c r="F5" s="635"/>
      <c r="G5" s="635"/>
      <c r="H5" s="635"/>
      <c r="I5" s="635"/>
      <c r="J5" s="635"/>
      <c r="K5" s="635"/>
      <c r="L5" s="635"/>
    </row>
    <row r="6" spans="1:12" s="93" customFormat="1" ht="15.75">
      <c r="A6" s="648" t="s">
        <v>428</v>
      </c>
      <c r="B6" s="649"/>
      <c r="C6" s="649"/>
      <c r="D6" s="649"/>
      <c r="E6" s="649"/>
      <c r="F6" s="649"/>
      <c r="G6" s="649"/>
      <c r="H6" s="649"/>
      <c r="I6" s="649"/>
      <c r="J6" s="649"/>
      <c r="K6" s="649"/>
      <c r="L6" s="650" t="s">
        <v>427</v>
      </c>
    </row>
    <row r="7" spans="1:12" ht="30.75" customHeight="1" thickBot="1">
      <c r="A7" s="985" t="s">
        <v>377</v>
      </c>
      <c r="B7" s="999" t="s">
        <v>376</v>
      </c>
      <c r="C7" s="999"/>
      <c r="D7" s="999"/>
      <c r="E7" s="999"/>
      <c r="F7" s="999"/>
      <c r="G7" s="999"/>
      <c r="H7" s="999"/>
      <c r="I7" s="999"/>
      <c r="J7" s="999"/>
      <c r="K7" s="1000" t="s">
        <v>375</v>
      </c>
      <c r="L7" s="997" t="s">
        <v>374</v>
      </c>
    </row>
    <row r="8" spans="1:12" ht="60.75" customHeight="1">
      <c r="A8" s="992"/>
      <c r="B8" s="303" t="s">
        <v>373</v>
      </c>
      <c r="C8" s="303" t="s">
        <v>372</v>
      </c>
      <c r="D8" s="303" t="s">
        <v>371</v>
      </c>
      <c r="E8" s="303" t="s">
        <v>370</v>
      </c>
      <c r="F8" s="303" t="s">
        <v>369</v>
      </c>
      <c r="G8" s="303" t="s">
        <v>975</v>
      </c>
      <c r="H8" s="303" t="s">
        <v>368</v>
      </c>
      <c r="I8" s="303" t="s">
        <v>293</v>
      </c>
      <c r="J8" s="303" t="s">
        <v>9</v>
      </c>
      <c r="K8" s="1001"/>
      <c r="L8" s="998"/>
    </row>
    <row r="9" spans="1:12" ht="22.5" customHeight="1" thickBot="1">
      <c r="A9" s="306" t="s">
        <v>367</v>
      </c>
      <c r="B9" s="606">
        <v>3</v>
      </c>
      <c r="C9" s="606">
        <v>0</v>
      </c>
      <c r="D9" s="606">
        <v>0</v>
      </c>
      <c r="E9" s="606">
        <v>2</v>
      </c>
      <c r="F9" s="606">
        <v>2</v>
      </c>
      <c r="G9" s="606">
        <v>0</v>
      </c>
      <c r="H9" s="606">
        <v>1</v>
      </c>
      <c r="I9" s="606">
        <v>0</v>
      </c>
      <c r="J9" s="606">
        <f>SUM(B9:I9)</f>
        <v>8</v>
      </c>
      <c r="K9" s="312">
        <f>J9/$J$17%</f>
        <v>0.38666022232962782</v>
      </c>
      <c r="L9" s="307" t="s">
        <v>366</v>
      </c>
    </row>
    <row r="10" spans="1:12" ht="22.5" customHeight="1" thickBot="1">
      <c r="A10" s="221" t="s">
        <v>365</v>
      </c>
      <c r="B10" s="602">
        <v>0</v>
      </c>
      <c r="C10" s="602">
        <v>0</v>
      </c>
      <c r="D10" s="602">
        <v>4</v>
      </c>
      <c r="E10" s="602">
        <v>1</v>
      </c>
      <c r="F10" s="602">
        <v>9</v>
      </c>
      <c r="G10" s="602">
        <v>0</v>
      </c>
      <c r="H10" s="602">
        <v>1</v>
      </c>
      <c r="I10" s="602">
        <v>0</v>
      </c>
      <c r="J10" s="606">
        <f t="shared" ref="J10:J16" si="0">SUM(B10:I10)</f>
        <v>15</v>
      </c>
      <c r="K10" s="530">
        <f t="shared" ref="K10:K16" si="1">J10/$J$17%</f>
        <v>0.7249879168680522</v>
      </c>
      <c r="L10" s="132" t="s">
        <v>364</v>
      </c>
    </row>
    <row r="11" spans="1:12" ht="22.5" customHeight="1" thickBot="1">
      <c r="A11" s="220" t="s">
        <v>363</v>
      </c>
      <c r="B11" s="602">
        <v>4</v>
      </c>
      <c r="C11" s="602">
        <v>3</v>
      </c>
      <c r="D11" s="602">
        <v>9</v>
      </c>
      <c r="E11" s="602">
        <v>28</v>
      </c>
      <c r="F11" s="602">
        <v>60</v>
      </c>
      <c r="G11" s="602">
        <v>2</v>
      </c>
      <c r="H11" s="602">
        <v>11</v>
      </c>
      <c r="I11" s="602">
        <v>1</v>
      </c>
      <c r="J11" s="606">
        <f t="shared" si="0"/>
        <v>118</v>
      </c>
      <c r="K11" s="312">
        <f t="shared" si="1"/>
        <v>5.7032382793620107</v>
      </c>
      <c r="L11" s="131" t="s">
        <v>362</v>
      </c>
    </row>
    <row r="12" spans="1:12" ht="22.5" customHeight="1" thickBot="1">
      <c r="A12" s="221" t="s">
        <v>361</v>
      </c>
      <c r="B12" s="602">
        <v>4</v>
      </c>
      <c r="C12" s="602">
        <v>0</v>
      </c>
      <c r="D12" s="602">
        <v>11</v>
      </c>
      <c r="E12" s="602">
        <v>41</v>
      </c>
      <c r="F12" s="602">
        <v>114</v>
      </c>
      <c r="G12" s="602">
        <v>4</v>
      </c>
      <c r="H12" s="602">
        <v>38</v>
      </c>
      <c r="I12" s="602">
        <v>1</v>
      </c>
      <c r="J12" s="606">
        <f t="shared" si="0"/>
        <v>213</v>
      </c>
      <c r="K12" s="530">
        <f t="shared" si="1"/>
        <v>10.29482841952634</v>
      </c>
      <c r="L12" s="132" t="s">
        <v>360</v>
      </c>
    </row>
    <row r="13" spans="1:12" ht="22.5" customHeight="1" thickBot="1">
      <c r="A13" s="220" t="s">
        <v>359</v>
      </c>
      <c r="B13" s="602">
        <v>6</v>
      </c>
      <c r="C13" s="602">
        <v>7</v>
      </c>
      <c r="D13" s="602">
        <v>26</v>
      </c>
      <c r="E13" s="602">
        <v>109</v>
      </c>
      <c r="F13" s="602">
        <v>638</v>
      </c>
      <c r="G13" s="602">
        <v>8</v>
      </c>
      <c r="H13" s="602">
        <v>137</v>
      </c>
      <c r="I13" s="602">
        <v>0</v>
      </c>
      <c r="J13" s="606">
        <f t="shared" si="0"/>
        <v>931</v>
      </c>
      <c r="K13" s="312">
        <f t="shared" si="1"/>
        <v>44.997583373610439</v>
      </c>
      <c r="L13" s="131" t="s">
        <v>358</v>
      </c>
    </row>
    <row r="14" spans="1:12" ht="22.5" customHeight="1" thickBot="1">
      <c r="A14" s="662" t="s">
        <v>984</v>
      </c>
      <c r="B14" s="602">
        <v>0</v>
      </c>
      <c r="C14" s="602">
        <v>1</v>
      </c>
      <c r="D14" s="602">
        <v>0</v>
      </c>
      <c r="E14" s="602">
        <v>0</v>
      </c>
      <c r="F14" s="602">
        <v>32</v>
      </c>
      <c r="G14" s="602">
        <v>3</v>
      </c>
      <c r="H14" s="602">
        <v>10</v>
      </c>
      <c r="I14" s="602">
        <v>0</v>
      </c>
      <c r="J14" s="606">
        <f t="shared" si="0"/>
        <v>46</v>
      </c>
      <c r="K14" s="530">
        <f t="shared" si="1"/>
        <v>2.22329627839536</v>
      </c>
      <c r="L14" s="663" t="s">
        <v>985</v>
      </c>
    </row>
    <row r="15" spans="1:12" ht="22.5" customHeight="1" thickBot="1">
      <c r="A15" s="220" t="s">
        <v>357</v>
      </c>
      <c r="B15" s="602">
        <v>0</v>
      </c>
      <c r="C15" s="602">
        <v>1</v>
      </c>
      <c r="D15" s="602">
        <v>2</v>
      </c>
      <c r="E15" s="602">
        <v>31</v>
      </c>
      <c r="F15" s="602">
        <v>454</v>
      </c>
      <c r="G15" s="602">
        <v>11</v>
      </c>
      <c r="H15" s="602">
        <v>236</v>
      </c>
      <c r="I15" s="602">
        <v>2</v>
      </c>
      <c r="J15" s="606">
        <f t="shared" si="0"/>
        <v>737</v>
      </c>
      <c r="K15" s="312">
        <f t="shared" si="1"/>
        <v>35.621072982116964</v>
      </c>
      <c r="L15" s="131" t="s">
        <v>356</v>
      </c>
    </row>
    <row r="16" spans="1:12" ht="22.5" customHeight="1">
      <c r="A16" s="222" t="s">
        <v>19</v>
      </c>
      <c r="B16" s="604">
        <v>0</v>
      </c>
      <c r="C16" s="604">
        <v>0</v>
      </c>
      <c r="D16" s="604">
        <v>0</v>
      </c>
      <c r="E16" s="604">
        <v>0</v>
      </c>
      <c r="F16" s="604">
        <v>1</v>
      </c>
      <c r="G16" s="604">
        <v>0</v>
      </c>
      <c r="H16" s="604">
        <v>0</v>
      </c>
      <c r="I16" s="604">
        <v>0</v>
      </c>
      <c r="J16" s="776">
        <f t="shared" si="0"/>
        <v>1</v>
      </c>
      <c r="K16" s="500">
        <f t="shared" si="1"/>
        <v>4.8332527791203478E-2</v>
      </c>
      <c r="L16" s="130" t="s">
        <v>355</v>
      </c>
    </row>
    <row r="17" spans="1:12" ht="22.5" customHeight="1" thickBot="1">
      <c r="A17" s="310" t="s">
        <v>21</v>
      </c>
      <c r="B17" s="756">
        <f>SUBTOTAL(109,Table_Default__XLS_TAB_16_1[ILLITERATE_CNT])</f>
        <v>17</v>
      </c>
      <c r="C17" s="756">
        <f>SUBTOTAL(109,Table_Default__XLS_TAB_16_1[READ_AND_WRITE_CNT])</f>
        <v>12</v>
      </c>
      <c r="D17" s="756">
        <f>SUBTOTAL(109,Table_Default__XLS_TAB_16_1[PRIMARY_CNT])</f>
        <v>52</v>
      </c>
      <c r="E17" s="756">
        <f>SUBTOTAL(109,Table_Default__XLS_TAB_16_1[PREPARATORY_CNT])</f>
        <v>212</v>
      </c>
      <c r="F17" s="756">
        <f>SUBTOTAL(109,Table_Default__XLS_TAB_16_1[SECONDARY_CNT])</f>
        <v>1310</v>
      </c>
      <c r="G17" s="756">
        <f>SUBTOTAL(109,Table_Default__XLS_TAB_16_1[PRE_UNIVERSITY_CNT])</f>
        <v>28</v>
      </c>
      <c r="H17" s="756">
        <f>SUBTOTAL(109,Table_Default__XLS_TAB_16_1[UNIV_ABOVE_CNT])</f>
        <v>434</v>
      </c>
      <c r="I17" s="756">
        <f>SUBTOTAL(109,Table_Default__XLS_TAB_16_1[NOT_STATED_CNT])</f>
        <v>4</v>
      </c>
      <c r="J17" s="756">
        <f>SUBTOTAL(109,Table_Default__XLS_TAB_16_1[TOTAL])</f>
        <v>2069</v>
      </c>
      <c r="K17" s="730">
        <f>SUM(K9:K16)</f>
        <v>100.00000000000001</v>
      </c>
      <c r="L17" s="311" t="s">
        <v>176</v>
      </c>
    </row>
    <row r="18" spans="1:12" ht="21.75" customHeight="1">
      <c r="A18" s="309" t="s">
        <v>353</v>
      </c>
      <c r="B18" s="614">
        <f>Table_Default__XLS_TAB_16_1[[#Totals],[ILLITERATE_CNT]]/Table_Default__XLS_TAB_16_1[[#Totals],[TOTAL]]%</f>
        <v>0.8216529724504591</v>
      </c>
      <c r="C18" s="614">
        <f>Table_Default__XLS_TAB_16_1[[#Totals],[READ_AND_WRITE_CNT]]/Table_Default__XLS_TAB_16_1[[#Totals],[TOTAL]]%</f>
        <v>0.57999033349444173</v>
      </c>
      <c r="D18" s="614">
        <f>Table_Default__XLS_TAB_16_1[[#Totals],[PRIMARY_CNT]]/Table_Default__XLS_TAB_16_1[[#Totals],[TOTAL]]%</f>
        <v>2.5132914451425807</v>
      </c>
      <c r="E18" s="614">
        <f>Table_Default__XLS_TAB_16_1[[#Totals],[PREPARATORY_CNT]]/Table_Default__XLS_TAB_16_1[[#Totals],[TOTAL]]%</f>
        <v>10.246495891735137</v>
      </c>
      <c r="F18" s="614">
        <f>Table_Default__XLS_TAB_16_1[[#Totals],[SECONDARY_CNT]]/Table_Default__XLS_TAB_16_1[[#Totals],[TOTAL]]%</f>
        <v>63.315611406476556</v>
      </c>
      <c r="G18" s="614">
        <f>Table_Default__XLS_TAB_16_1[[#Totals],[PRE_UNIVERSITY_CNT]]/Table_Default__XLS_TAB_16_1[[#Totals],[TOTAL]]%</f>
        <v>1.3533107781536973</v>
      </c>
      <c r="H18" s="614">
        <f>Table_Default__XLS_TAB_16_1[[#Totals],[UNIV_ABOVE_CNT]]/Table_Default__XLS_TAB_16_1[[#Totals],[TOTAL]]%</f>
        <v>20.976317061382311</v>
      </c>
      <c r="I18" s="614">
        <f>Table_Default__XLS_TAB_16_1[[#Totals],[NOT_STATED_CNT]]/Table_Default__XLS_TAB_16_1[[#Totals],[TOTAL]]%</f>
        <v>0.19333011116481391</v>
      </c>
      <c r="J18" s="614">
        <f>SUM(B18:I18)</f>
        <v>100</v>
      </c>
      <c r="K18" s="995" t="s">
        <v>352</v>
      </c>
      <c r="L18" s="996"/>
    </row>
  </sheetData>
  <mergeCells count="9">
    <mergeCell ref="K18:L18"/>
    <mergeCell ref="A1:L1"/>
    <mergeCell ref="A2:L2"/>
    <mergeCell ref="A3:L3"/>
    <mergeCell ref="A7:A8"/>
    <mergeCell ref="L7:L8"/>
    <mergeCell ref="B7:J7"/>
    <mergeCell ref="K7:K8"/>
    <mergeCell ref="A4:L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rightToLeft="1" view="pageBreakPreview" zoomScaleNormal="75" zoomScaleSheetLayoutView="100" workbookViewId="0">
      <selection activeCell="A3" sqref="A3:L3"/>
    </sheetView>
  </sheetViews>
  <sheetFormatPr defaultColWidth="9.140625" defaultRowHeight="12.75"/>
  <cols>
    <col min="1" max="1" width="16" style="2" customWidth="1"/>
    <col min="2" max="9" width="10.42578125" style="2" customWidth="1"/>
    <col min="10" max="10" width="8.28515625" style="2" customWidth="1"/>
    <col min="11" max="11" width="10.7109375" style="2" customWidth="1"/>
    <col min="12" max="12" width="19.42578125" style="2" customWidth="1"/>
    <col min="13" max="16384" width="9.140625" style="2"/>
  </cols>
  <sheetData>
    <row r="1" spans="1:12" ht="24" customHeight="1">
      <c r="A1" s="934" t="s">
        <v>381</v>
      </c>
      <c r="B1" s="934"/>
      <c r="C1" s="934"/>
      <c r="D1" s="934"/>
      <c r="E1" s="934"/>
      <c r="F1" s="934"/>
      <c r="G1" s="934"/>
      <c r="H1" s="934"/>
      <c r="I1" s="934"/>
      <c r="J1" s="934"/>
      <c r="K1" s="934"/>
      <c r="L1" s="934"/>
    </row>
    <row r="2" spans="1:12" s="3" customFormat="1" ht="18">
      <c r="A2" s="958" t="s">
        <v>380</v>
      </c>
      <c r="B2" s="958"/>
      <c r="C2" s="958"/>
      <c r="D2" s="958"/>
      <c r="E2" s="958"/>
      <c r="F2" s="958"/>
      <c r="G2" s="958"/>
      <c r="H2" s="958"/>
      <c r="I2" s="958"/>
      <c r="J2" s="958"/>
      <c r="K2" s="958"/>
      <c r="L2" s="958"/>
    </row>
    <row r="3" spans="1:12" ht="15.75">
      <c r="A3" s="959">
        <v>2015</v>
      </c>
      <c r="B3" s="959"/>
      <c r="C3" s="959"/>
      <c r="D3" s="959"/>
      <c r="E3" s="959"/>
      <c r="F3" s="959"/>
      <c r="G3" s="959"/>
      <c r="H3" s="959"/>
      <c r="I3" s="959"/>
      <c r="J3" s="959"/>
      <c r="K3" s="959"/>
      <c r="L3" s="959"/>
    </row>
    <row r="4" spans="1:12" ht="15.75">
      <c r="A4" s="959" t="s">
        <v>172</v>
      </c>
      <c r="B4" s="959"/>
      <c r="C4" s="959"/>
      <c r="D4" s="959"/>
      <c r="E4" s="959"/>
      <c r="F4" s="959"/>
      <c r="G4" s="959"/>
      <c r="H4" s="959"/>
      <c r="I4" s="959"/>
      <c r="J4" s="959"/>
      <c r="K4" s="959"/>
      <c r="L4" s="959"/>
    </row>
    <row r="5" spans="1:12" ht="15.75">
      <c r="A5" s="635"/>
      <c r="B5" s="635"/>
      <c r="C5" s="635"/>
      <c r="D5" s="635"/>
      <c r="E5" s="635"/>
      <c r="F5" s="635"/>
      <c r="G5" s="635"/>
      <c r="H5" s="635"/>
      <c r="I5" s="635"/>
      <c r="J5" s="635"/>
      <c r="K5" s="635"/>
      <c r="L5" s="635"/>
    </row>
    <row r="6" spans="1:12" s="93" customFormat="1" ht="15.75">
      <c r="A6" s="648" t="s">
        <v>432</v>
      </c>
      <c r="B6" s="649"/>
      <c r="C6" s="649"/>
      <c r="D6" s="649"/>
      <c r="E6" s="649"/>
      <c r="F6" s="649"/>
      <c r="G6" s="649"/>
      <c r="H6" s="649"/>
      <c r="I6" s="649"/>
      <c r="J6" s="649"/>
      <c r="K6" s="649"/>
      <c r="L6" s="650" t="s">
        <v>431</v>
      </c>
    </row>
    <row r="7" spans="1:12" ht="30.75" customHeight="1" thickBot="1">
      <c r="A7" s="985" t="s">
        <v>377</v>
      </c>
      <c r="B7" s="999" t="s">
        <v>376</v>
      </c>
      <c r="C7" s="999"/>
      <c r="D7" s="999"/>
      <c r="E7" s="999"/>
      <c r="F7" s="999"/>
      <c r="G7" s="999"/>
      <c r="H7" s="999"/>
      <c r="I7" s="999"/>
      <c r="J7" s="999"/>
      <c r="K7" s="1000" t="s">
        <v>375</v>
      </c>
      <c r="L7" s="997" t="s">
        <v>374</v>
      </c>
    </row>
    <row r="8" spans="1:12" ht="60.75" customHeight="1">
      <c r="A8" s="992"/>
      <c r="B8" s="303" t="s">
        <v>373</v>
      </c>
      <c r="C8" s="303" t="s">
        <v>372</v>
      </c>
      <c r="D8" s="303" t="s">
        <v>371</v>
      </c>
      <c r="E8" s="303" t="s">
        <v>370</v>
      </c>
      <c r="F8" s="303" t="s">
        <v>369</v>
      </c>
      <c r="G8" s="303" t="s">
        <v>975</v>
      </c>
      <c r="H8" s="303" t="s">
        <v>368</v>
      </c>
      <c r="I8" s="303" t="s">
        <v>293</v>
      </c>
      <c r="J8" s="303" t="s">
        <v>9</v>
      </c>
      <c r="K8" s="1001"/>
      <c r="L8" s="998"/>
    </row>
    <row r="9" spans="1:12" ht="22.5" customHeight="1" thickBot="1">
      <c r="A9" s="306" t="s">
        <v>367</v>
      </c>
      <c r="B9" s="615">
        <v>3</v>
      </c>
      <c r="C9" s="600">
        <v>1</v>
      </c>
      <c r="D9" s="600">
        <v>0</v>
      </c>
      <c r="E9" s="600">
        <v>0</v>
      </c>
      <c r="F9" s="600">
        <v>2</v>
      </c>
      <c r="G9" s="600">
        <v>0</v>
      </c>
      <c r="H9" s="600">
        <v>0</v>
      </c>
      <c r="I9" s="600">
        <v>0</v>
      </c>
      <c r="J9" s="616">
        <f>SUM(B9:I9)</f>
        <v>6</v>
      </c>
      <c r="K9" s="312">
        <f>J9/$J$17%</f>
        <v>0.36253776435045315</v>
      </c>
      <c r="L9" s="307" t="s">
        <v>366</v>
      </c>
    </row>
    <row r="10" spans="1:12" ht="22.5" customHeight="1" thickBot="1">
      <c r="A10" s="221" t="s">
        <v>365</v>
      </c>
      <c r="B10" s="617">
        <v>0</v>
      </c>
      <c r="C10" s="602">
        <v>0</v>
      </c>
      <c r="D10" s="602">
        <v>3</v>
      </c>
      <c r="E10" s="602">
        <v>1</v>
      </c>
      <c r="F10" s="602">
        <v>7</v>
      </c>
      <c r="G10" s="602">
        <v>0</v>
      </c>
      <c r="H10" s="602">
        <v>2</v>
      </c>
      <c r="I10" s="602">
        <v>0</v>
      </c>
      <c r="J10" s="616">
        <f t="shared" ref="J10:J16" si="0">SUM(B10:I10)</f>
        <v>13</v>
      </c>
      <c r="K10" s="12">
        <f t="shared" ref="K10:K16" si="1">J10/$J$17%</f>
        <v>0.78549848942598188</v>
      </c>
      <c r="L10" s="132" t="s">
        <v>364</v>
      </c>
    </row>
    <row r="11" spans="1:12" ht="22.5" customHeight="1" thickBot="1">
      <c r="A11" s="220" t="s">
        <v>363</v>
      </c>
      <c r="B11" s="617">
        <v>1</v>
      </c>
      <c r="C11" s="602">
        <v>5</v>
      </c>
      <c r="D11" s="602">
        <v>19</v>
      </c>
      <c r="E11" s="602">
        <v>19</v>
      </c>
      <c r="F11" s="602">
        <v>29</v>
      </c>
      <c r="G11" s="602">
        <v>0</v>
      </c>
      <c r="H11" s="602">
        <v>10</v>
      </c>
      <c r="I11" s="602">
        <v>0</v>
      </c>
      <c r="J11" s="616">
        <f t="shared" si="0"/>
        <v>83</v>
      </c>
      <c r="K11" s="15">
        <f t="shared" si="1"/>
        <v>5.0151057401812684</v>
      </c>
      <c r="L11" s="131" t="s">
        <v>362</v>
      </c>
    </row>
    <row r="12" spans="1:12" ht="22.5" customHeight="1" thickBot="1">
      <c r="A12" s="221" t="s">
        <v>361</v>
      </c>
      <c r="B12" s="617">
        <v>4</v>
      </c>
      <c r="C12" s="602">
        <v>8</v>
      </c>
      <c r="D12" s="602">
        <v>15</v>
      </c>
      <c r="E12" s="602">
        <v>31</v>
      </c>
      <c r="F12" s="602">
        <v>68</v>
      </c>
      <c r="G12" s="602">
        <v>4</v>
      </c>
      <c r="H12" s="602">
        <v>19</v>
      </c>
      <c r="I12" s="602">
        <v>1</v>
      </c>
      <c r="J12" s="616">
        <f t="shared" si="0"/>
        <v>150</v>
      </c>
      <c r="K12" s="12">
        <f t="shared" si="1"/>
        <v>9.0634441087613293</v>
      </c>
      <c r="L12" s="132" t="s">
        <v>360</v>
      </c>
    </row>
    <row r="13" spans="1:12" ht="22.5" customHeight="1" thickBot="1">
      <c r="A13" s="220" t="s">
        <v>359</v>
      </c>
      <c r="B13" s="617">
        <v>5</v>
      </c>
      <c r="C13" s="602">
        <v>12</v>
      </c>
      <c r="D13" s="602">
        <v>22</v>
      </c>
      <c r="E13" s="602">
        <v>64</v>
      </c>
      <c r="F13" s="602">
        <v>279</v>
      </c>
      <c r="G13" s="602">
        <v>14</v>
      </c>
      <c r="H13" s="602">
        <v>135</v>
      </c>
      <c r="I13" s="602">
        <v>3</v>
      </c>
      <c r="J13" s="616">
        <f t="shared" si="0"/>
        <v>534</v>
      </c>
      <c r="K13" s="15">
        <f t="shared" si="1"/>
        <v>32.265861027190333</v>
      </c>
      <c r="L13" s="131" t="s">
        <v>358</v>
      </c>
    </row>
    <row r="14" spans="1:12" ht="22.5" customHeight="1" thickBot="1">
      <c r="A14" s="662" t="s">
        <v>984</v>
      </c>
      <c r="B14" s="617">
        <v>0</v>
      </c>
      <c r="C14" s="602">
        <v>2</v>
      </c>
      <c r="D14" s="602">
        <v>1</v>
      </c>
      <c r="E14" s="602">
        <v>2</v>
      </c>
      <c r="F14" s="602">
        <v>43</v>
      </c>
      <c r="G14" s="602">
        <v>14</v>
      </c>
      <c r="H14" s="602">
        <v>34</v>
      </c>
      <c r="I14" s="602">
        <v>0</v>
      </c>
      <c r="J14" s="616">
        <f t="shared" si="0"/>
        <v>96</v>
      </c>
      <c r="K14" s="12">
        <f t="shared" si="1"/>
        <v>5.8006042296072504</v>
      </c>
      <c r="L14" s="663" t="s">
        <v>985</v>
      </c>
    </row>
    <row r="15" spans="1:12" ht="22.5" customHeight="1" thickBot="1">
      <c r="A15" s="220" t="s">
        <v>357</v>
      </c>
      <c r="B15" s="617">
        <v>0</v>
      </c>
      <c r="C15" s="602">
        <v>1</v>
      </c>
      <c r="D15" s="602">
        <v>4</v>
      </c>
      <c r="E15" s="602">
        <v>21</v>
      </c>
      <c r="F15" s="602">
        <v>218</v>
      </c>
      <c r="G15" s="602">
        <v>40</v>
      </c>
      <c r="H15" s="602">
        <v>486</v>
      </c>
      <c r="I15" s="602">
        <v>1</v>
      </c>
      <c r="J15" s="616">
        <f t="shared" si="0"/>
        <v>771</v>
      </c>
      <c r="K15" s="15">
        <f t="shared" si="1"/>
        <v>46.586102719033228</v>
      </c>
      <c r="L15" s="131" t="s">
        <v>356</v>
      </c>
    </row>
    <row r="16" spans="1:12" ht="22.5" customHeight="1">
      <c r="A16" s="222" t="s">
        <v>19</v>
      </c>
      <c r="B16" s="618">
        <v>0</v>
      </c>
      <c r="C16" s="604">
        <v>0</v>
      </c>
      <c r="D16" s="604">
        <v>1</v>
      </c>
      <c r="E16" s="604">
        <v>0</v>
      </c>
      <c r="F16" s="604">
        <v>0</v>
      </c>
      <c r="G16" s="604">
        <v>1</v>
      </c>
      <c r="H16" s="604">
        <v>0</v>
      </c>
      <c r="I16" s="604">
        <v>0</v>
      </c>
      <c r="J16" s="775">
        <f t="shared" si="0"/>
        <v>2</v>
      </c>
      <c r="K16" s="129">
        <f t="shared" si="1"/>
        <v>0.12084592145015105</v>
      </c>
      <c r="L16" s="130" t="s">
        <v>355</v>
      </c>
    </row>
    <row r="17" spans="1:12" ht="22.5" customHeight="1" thickBot="1">
      <c r="A17" s="310" t="s">
        <v>21</v>
      </c>
      <c r="B17" s="757">
        <f>SUBTOTAL(109,Table_Default__XLS_TAB_16_2[ILLITERATE_CNT])</f>
        <v>13</v>
      </c>
      <c r="C17" s="758">
        <f>SUBTOTAL(109,Table_Default__XLS_TAB_16_2[READ_AND_WRITE_CNT])</f>
        <v>29</v>
      </c>
      <c r="D17" s="758">
        <f>SUBTOTAL(109,Table_Default__XLS_TAB_16_2[PRIMARY_CNT])</f>
        <v>65</v>
      </c>
      <c r="E17" s="758">
        <f>SUBTOTAL(109,Table_Default__XLS_TAB_16_2[PREPARATORY_CNT])</f>
        <v>138</v>
      </c>
      <c r="F17" s="758">
        <f>SUBTOTAL(109,Table_Default__XLS_TAB_16_2[SECONDARY_CNT])</f>
        <v>646</v>
      </c>
      <c r="G17" s="758">
        <f>SUBTOTAL(109,Table_Default__XLS_TAB_16_2[PRE_UNIVERSITY_CNT])</f>
        <v>73</v>
      </c>
      <c r="H17" s="758">
        <f>SUBTOTAL(109,Table_Default__XLS_TAB_16_2[UNIV_ABOVE_CNT])</f>
        <v>686</v>
      </c>
      <c r="I17" s="758">
        <f>SUBTOTAL(109,Table_Default__XLS_TAB_16_2[NOT_STATED_CNT])</f>
        <v>5</v>
      </c>
      <c r="J17" s="756">
        <f>SUBTOTAL(109,Table_Default__XLS_TAB_16_2[TOTAL])</f>
        <v>1655</v>
      </c>
      <c r="K17" s="730">
        <f>J17/$J$17%</f>
        <v>100</v>
      </c>
      <c r="L17" s="311" t="s">
        <v>176</v>
      </c>
    </row>
    <row r="18" spans="1:12" ht="21.75" customHeight="1">
      <c r="A18" s="309" t="s">
        <v>353</v>
      </c>
      <c r="B18" s="614">
        <f>Table_Default__XLS_TAB_16_2[[#Totals],[ILLITERATE_CNT]]/Table_Default__XLS_TAB_16_2[[#Totals],[TOTAL]]%</f>
        <v>0.78549848942598188</v>
      </c>
      <c r="C18" s="614">
        <f>Table_Default__XLS_TAB_16_2[[#Totals],[READ_AND_WRITE_CNT]]/Table_Default__XLS_TAB_16_2[[#Totals],[TOTAL]]%</f>
        <v>1.7522658610271902</v>
      </c>
      <c r="D18" s="614">
        <f>Table_Default__XLS_TAB_16_2[[#Totals],[PRIMARY_CNT]]/Table_Default__XLS_TAB_16_2[[#Totals],[TOTAL]]%</f>
        <v>3.9274924471299091</v>
      </c>
      <c r="E18" s="614">
        <f>Table_Default__XLS_TAB_16_2[[#Totals],[PREPARATORY_CNT]]/Table_Default__XLS_TAB_16_2[[#Totals],[TOTAL]]%</f>
        <v>8.3383685800604219</v>
      </c>
      <c r="F18" s="614">
        <f>Table_Default__XLS_TAB_16_2[[#Totals],[SECONDARY_CNT]]/Table_Default__XLS_TAB_16_2[[#Totals],[TOTAL]]%</f>
        <v>39.033232628398792</v>
      </c>
      <c r="G18" s="614">
        <f>Table_Default__XLS_TAB_16_2[[#Totals],[PRE_UNIVERSITY_CNT]]/Table_Default__XLS_TAB_16_2[[#Totals],[TOTAL]]%</f>
        <v>4.4108761329305137</v>
      </c>
      <c r="H18" s="614">
        <f>Table_Default__XLS_TAB_16_2[[#Totals],[UNIV_ABOVE_CNT]]/Table_Default__XLS_TAB_16_2[[#Totals],[TOTAL]]%</f>
        <v>41.450151057401811</v>
      </c>
      <c r="I18" s="614">
        <f>Table_Default__XLS_TAB_16_2[[#Totals],[NOT_STATED_CNT]]/Table_Default__XLS_TAB_16_2[[#Totals],[TOTAL]]%</f>
        <v>0.30211480362537763</v>
      </c>
      <c r="J18" s="614">
        <f>SUM(B18:I18)</f>
        <v>99.999999999999986</v>
      </c>
      <c r="K18" s="995" t="s">
        <v>352</v>
      </c>
      <c r="L18" s="996"/>
    </row>
  </sheetData>
  <mergeCells count="9">
    <mergeCell ref="K18:L18"/>
    <mergeCell ref="A1:L1"/>
    <mergeCell ref="A2:L2"/>
    <mergeCell ref="A3:L3"/>
    <mergeCell ref="A4:L4"/>
    <mergeCell ref="A7:A8"/>
    <mergeCell ref="B7:J7"/>
    <mergeCell ref="K7:K8"/>
    <mergeCell ref="L7:L8"/>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rightToLeft="1" view="pageBreakPreview" zoomScaleNormal="75" zoomScaleSheetLayoutView="100" workbookViewId="0">
      <selection activeCell="A3" sqref="A3:L3"/>
    </sheetView>
  </sheetViews>
  <sheetFormatPr defaultColWidth="9.140625" defaultRowHeight="12.75"/>
  <cols>
    <col min="1" max="1" width="16" style="2" customWidth="1"/>
    <col min="2" max="9" width="10.42578125" style="2" customWidth="1"/>
    <col min="10" max="10" width="8.28515625" style="2" customWidth="1"/>
    <col min="11" max="11" width="10.7109375" style="2" customWidth="1"/>
    <col min="12" max="12" width="19.42578125" style="2" customWidth="1"/>
    <col min="13" max="16384" width="9.140625" style="2"/>
  </cols>
  <sheetData>
    <row r="1" spans="1:12" ht="24" customHeight="1">
      <c r="A1" s="934" t="s">
        <v>381</v>
      </c>
      <c r="B1" s="934"/>
      <c r="C1" s="934"/>
      <c r="D1" s="934"/>
      <c r="E1" s="934"/>
      <c r="F1" s="934"/>
      <c r="G1" s="934"/>
      <c r="H1" s="934"/>
      <c r="I1" s="934"/>
      <c r="J1" s="934"/>
      <c r="K1" s="934"/>
      <c r="L1" s="934"/>
    </row>
    <row r="2" spans="1:12" s="3" customFormat="1" ht="18">
      <c r="A2" s="958" t="s">
        <v>380</v>
      </c>
      <c r="B2" s="958"/>
      <c r="C2" s="958"/>
      <c r="D2" s="958"/>
      <c r="E2" s="958"/>
      <c r="F2" s="958"/>
      <c r="G2" s="958"/>
      <c r="H2" s="958"/>
      <c r="I2" s="958"/>
      <c r="J2" s="958"/>
      <c r="K2" s="958"/>
      <c r="L2" s="958"/>
    </row>
    <row r="3" spans="1:12" ht="15.75">
      <c r="A3" s="959">
        <v>2015</v>
      </c>
      <c r="B3" s="959"/>
      <c r="C3" s="959"/>
      <c r="D3" s="959"/>
      <c r="E3" s="959"/>
      <c r="F3" s="959"/>
      <c r="G3" s="959"/>
      <c r="H3" s="959"/>
      <c r="I3" s="959"/>
      <c r="J3" s="959"/>
      <c r="K3" s="959"/>
      <c r="L3" s="959"/>
    </row>
    <row r="4" spans="1:12" ht="15.75">
      <c r="A4" s="959" t="s">
        <v>1</v>
      </c>
      <c r="B4" s="959"/>
      <c r="C4" s="959"/>
      <c r="D4" s="959"/>
      <c r="E4" s="959"/>
      <c r="F4" s="959"/>
      <c r="G4" s="959"/>
      <c r="H4" s="959"/>
      <c r="I4" s="959"/>
      <c r="J4" s="959"/>
      <c r="K4" s="959"/>
      <c r="L4" s="959"/>
    </row>
    <row r="5" spans="1:12" ht="15.75">
      <c r="A5" s="635"/>
      <c r="B5" s="635"/>
      <c r="C5" s="635"/>
      <c r="D5" s="635"/>
      <c r="E5" s="635"/>
      <c r="F5" s="635"/>
      <c r="G5" s="635"/>
      <c r="H5" s="635"/>
      <c r="I5" s="635"/>
      <c r="J5" s="635"/>
      <c r="K5" s="635"/>
      <c r="L5" s="635"/>
    </row>
    <row r="6" spans="1:12" s="93" customFormat="1" ht="15.75">
      <c r="A6" s="648" t="s">
        <v>446</v>
      </c>
      <c r="B6" s="649"/>
      <c r="C6" s="649"/>
      <c r="D6" s="649"/>
      <c r="E6" s="649"/>
      <c r="F6" s="649"/>
      <c r="G6" s="649"/>
      <c r="H6" s="649"/>
      <c r="I6" s="649"/>
      <c r="J6" s="649"/>
      <c r="K6" s="649"/>
      <c r="L6" s="650" t="s">
        <v>445</v>
      </c>
    </row>
    <row r="7" spans="1:12" ht="30.75" customHeight="1" thickBot="1">
      <c r="A7" s="985" t="s">
        <v>377</v>
      </c>
      <c r="B7" s="999" t="s">
        <v>376</v>
      </c>
      <c r="C7" s="999"/>
      <c r="D7" s="999"/>
      <c r="E7" s="999"/>
      <c r="F7" s="999"/>
      <c r="G7" s="999"/>
      <c r="H7" s="999"/>
      <c r="I7" s="999"/>
      <c r="J7" s="999"/>
      <c r="K7" s="1000" t="s">
        <v>375</v>
      </c>
      <c r="L7" s="997" t="s">
        <v>374</v>
      </c>
    </row>
    <row r="8" spans="1:12" ht="60.75" customHeight="1">
      <c r="A8" s="992"/>
      <c r="B8" s="303" t="s">
        <v>373</v>
      </c>
      <c r="C8" s="303" t="s">
        <v>372</v>
      </c>
      <c r="D8" s="303" t="s">
        <v>371</v>
      </c>
      <c r="E8" s="303" t="s">
        <v>370</v>
      </c>
      <c r="F8" s="303" t="s">
        <v>369</v>
      </c>
      <c r="G8" s="303" t="s">
        <v>975</v>
      </c>
      <c r="H8" s="303" t="s">
        <v>368</v>
      </c>
      <c r="I8" s="303" t="s">
        <v>293</v>
      </c>
      <c r="J8" s="303" t="s">
        <v>9</v>
      </c>
      <c r="K8" s="1001"/>
      <c r="L8" s="998"/>
    </row>
    <row r="9" spans="1:12" ht="22.5" customHeight="1" thickBot="1">
      <c r="A9" s="306" t="s">
        <v>367</v>
      </c>
      <c r="B9" s="615">
        <v>6</v>
      </c>
      <c r="C9" s="600">
        <v>1</v>
      </c>
      <c r="D9" s="600">
        <v>0</v>
      </c>
      <c r="E9" s="600">
        <v>2</v>
      </c>
      <c r="F9" s="600">
        <v>4</v>
      </c>
      <c r="G9" s="600">
        <v>0</v>
      </c>
      <c r="H9" s="600">
        <v>1</v>
      </c>
      <c r="I9" s="600">
        <v>0</v>
      </c>
      <c r="J9" s="616">
        <f>SUM(B9:I9)</f>
        <v>14</v>
      </c>
      <c r="K9" s="312">
        <f>J9/$J$17%</f>
        <v>0.37593984962406013</v>
      </c>
      <c r="L9" s="307" t="s">
        <v>366</v>
      </c>
    </row>
    <row r="10" spans="1:12" ht="22.5" customHeight="1" thickBot="1">
      <c r="A10" s="221" t="s">
        <v>365</v>
      </c>
      <c r="B10" s="617">
        <v>0</v>
      </c>
      <c r="C10" s="602">
        <v>0</v>
      </c>
      <c r="D10" s="602">
        <v>7</v>
      </c>
      <c r="E10" s="602">
        <v>2</v>
      </c>
      <c r="F10" s="602">
        <v>16</v>
      </c>
      <c r="G10" s="602">
        <v>0</v>
      </c>
      <c r="H10" s="602">
        <v>3</v>
      </c>
      <c r="I10" s="602">
        <v>0</v>
      </c>
      <c r="J10" s="616">
        <f t="shared" ref="J10:J16" si="0">SUM(B10:I10)</f>
        <v>28</v>
      </c>
      <c r="K10" s="530">
        <f t="shared" ref="K10:K16" si="1">J10/$J$17%</f>
        <v>0.75187969924812026</v>
      </c>
      <c r="L10" s="132" t="s">
        <v>364</v>
      </c>
    </row>
    <row r="11" spans="1:12" ht="22.5" customHeight="1" thickBot="1">
      <c r="A11" s="220" t="s">
        <v>363</v>
      </c>
      <c r="B11" s="617">
        <v>5</v>
      </c>
      <c r="C11" s="602">
        <v>8</v>
      </c>
      <c r="D11" s="602">
        <v>28</v>
      </c>
      <c r="E11" s="602">
        <v>47</v>
      </c>
      <c r="F11" s="602">
        <v>89</v>
      </c>
      <c r="G11" s="602">
        <v>2</v>
      </c>
      <c r="H11" s="602">
        <v>21</v>
      </c>
      <c r="I11" s="602">
        <v>1</v>
      </c>
      <c r="J11" s="616">
        <f t="shared" si="0"/>
        <v>201</v>
      </c>
      <c r="K11" s="312">
        <f t="shared" si="1"/>
        <v>5.3974221267454343</v>
      </c>
      <c r="L11" s="131" t="s">
        <v>362</v>
      </c>
    </row>
    <row r="12" spans="1:12" ht="22.5" customHeight="1" thickBot="1">
      <c r="A12" s="221" t="s">
        <v>361</v>
      </c>
      <c r="B12" s="617">
        <v>8</v>
      </c>
      <c r="C12" s="602">
        <v>8</v>
      </c>
      <c r="D12" s="602">
        <v>26</v>
      </c>
      <c r="E12" s="602">
        <v>72</v>
      </c>
      <c r="F12" s="602">
        <v>182</v>
      </c>
      <c r="G12" s="602">
        <v>8</v>
      </c>
      <c r="H12" s="602">
        <v>57</v>
      </c>
      <c r="I12" s="602">
        <v>2</v>
      </c>
      <c r="J12" s="616">
        <f t="shared" si="0"/>
        <v>363</v>
      </c>
      <c r="K12" s="530">
        <f t="shared" si="1"/>
        <v>9.7475832438238452</v>
      </c>
      <c r="L12" s="132" t="s">
        <v>360</v>
      </c>
    </row>
    <row r="13" spans="1:12" ht="22.5" customHeight="1" thickBot="1">
      <c r="A13" s="220" t="s">
        <v>359</v>
      </c>
      <c r="B13" s="617">
        <v>11</v>
      </c>
      <c r="C13" s="602">
        <v>19</v>
      </c>
      <c r="D13" s="602">
        <v>48</v>
      </c>
      <c r="E13" s="602">
        <v>173</v>
      </c>
      <c r="F13" s="602">
        <v>917</v>
      </c>
      <c r="G13" s="602">
        <v>22</v>
      </c>
      <c r="H13" s="602">
        <v>272</v>
      </c>
      <c r="I13" s="602">
        <v>3</v>
      </c>
      <c r="J13" s="616">
        <f t="shared" si="0"/>
        <v>1465</v>
      </c>
      <c r="K13" s="312">
        <f t="shared" si="1"/>
        <v>39.339419978517718</v>
      </c>
      <c r="L13" s="131" t="s">
        <v>358</v>
      </c>
    </row>
    <row r="14" spans="1:12" ht="22.5" customHeight="1" thickBot="1">
      <c r="A14" s="662" t="s">
        <v>984</v>
      </c>
      <c r="B14" s="617">
        <v>0</v>
      </c>
      <c r="C14" s="602">
        <v>3</v>
      </c>
      <c r="D14" s="602">
        <v>1</v>
      </c>
      <c r="E14" s="602">
        <v>2</v>
      </c>
      <c r="F14" s="602">
        <v>75</v>
      </c>
      <c r="G14" s="602">
        <v>17</v>
      </c>
      <c r="H14" s="602">
        <v>44</v>
      </c>
      <c r="I14" s="602">
        <v>0</v>
      </c>
      <c r="J14" s="616">
        <f t="shared" si="0"/>
        <v>142</v>
      </c>
      <c r="K14" s="530">
        <f t="shared" si="1"/>
        <v>3.8131041890440383</v>
      </c>
      <c r="L14" s="663" t="s">
        <v>985</v>
      </c>
    </row>
    <row r="15" spans="1:12" ht="15.75" thickBot="1">
      <c r="A15" s="220" t="s">
        <v>357</v>
      </c>
      <c r="B15" s="617">
        <v>0</v>
      </c>
      <c r="C15" s="602">
        <v>2</v>
      </c>
      <c r="D15" s="602">
        <v>6</v>
      </c>
      <c r="E15" s="602">
        <v>52</v>
      </c>
      <c r="F15" s="602">
        <v>672</v>
      </c>
      <c r="G15" s="602">
        <v>51</v>
      </c>
      <c r="H15" s="602">
        <v>722</v>
      </c>
      <c r="I15" s="602">
        <v>3</v>
      </c>
      <c r="J15" s="616">
        <f t="shared" si="0"/>
        <v>1508</v>
      </c>
      <c r="K15" s="312">
        <f t="shared" si="1"/>
        <v>40.494092373791617</v>
      </c>
      <c r="L15" s="131" t="s">
        <v>356</v>
      </c>
    </row>
    <row r="16" spans="1:12" ht="15">
      <c r="A16" s="222" t="s">
        <v>19</v>
      </c>
      <c r="B16" s="618">
        <v>0</v>
      </c>
      <c r="C16" s="604">
        <v>0</v>
      </c>
      <c r="D16" s="604">
        <v>1</v>
      </c>
      <c r="E16" s="604">
        <v>0</v>
      </c>
      <c r="F16" s="604">
        <v>1</v>
      </c>
      <c r="G16" s="604">
        <v>1</v>
      </c>
      <c r="H16" s="604">
        <v>0</v>
      </c>
      <c r="I16" s="604">
        <v>0</v>
      </c>
      <c r="J16" s="775">
        <f t="shared" si="0"/>
        <v>3</v>
      </c>
      <c r="K16" s="500">
        <f t="shared" si="1"/>
        <v>8.0558539205155738E-2</v>
      </c>
      <c r="L16" s="130" t="s">
        <v>355</v>
      </c>
    </row>
    <row r="17" spans="1:12" ht="22.5" customHeight="1" thickBot="1">
      <c r="A17" s="310" t="s">
        <v>21</v>
      </c>
      <c r="B17" s="757">
        <f>SUBTOTAL(109,Table_Default__XLS_TAB_16_3[ILLITERATE_CNT])</f>
        <v>30</v>
      </c>
      <c r="C17" s="758">
        <f>SUBTOTAL(109,Table_Default__XLS_TAB_16_3[READ_AND_WRITE_CNT])</f>
        <v>41</v>
      </c>
      <c r="D17" s="758">
        <f>SUBTOTAL(109,Table_Default__XLS_TAB_16_3[PRIMARY_CNT])</f>
        <v>117</v>
      </c>
      <c r="E17" s="758">
        <f>SUBTOTAL(109,Table_Default__XLS_TAB_16_3[PREPARATORY_CNT])</f>
        <v>350</v>
      </c>
      <c r="F17" s="758">
        <f>SUBTOTAL(109,Table_Default__XLS_TAB_16_3[SECONDARY_CNT])</f>
        <v>1956</v>
      </c>
      <c r="G17" s="758">
        <f>SUBTOTAL(109,Table_Default__XLS_TAB_16_3[PRE_UNIVERSITY_CNT])</f>
        <v>101</v>
      </c>
      <c r="H17" s="758">
        <f>SUBTOTAL(109,Table_Default__XLS_TAB_16_3[UNIV_ABOVE_CNT])</f>
        <v>1120</v>
      </c>
      <c r="I17" s="758">
        <f>SUBTOTAL(109,Table_Default__XLS_TAB_16_3[NOT_STATED_CNT])</f>
        <v>9</v>
      </c>
      <c r="J17" s="756">
        <f>SUBTOTAL(109,Table_Default__XLS_TAB_16_3[TOTAL])</f>
        <v>3724</v>
      </c>
      <c r="K17" s="730">
        <f>SUM(K9:K16)</f>
        <v>100</v>
      </c>
      <c r="L17" s="311" t="s">
        <v>176</v>
      </c>
    </row>
    <row r="18" spans="1:12" ht="22.5" customHeight="1">
      <c r="A18" s="309" t="s">
        <v>353</v>
      </c>
      <c r="B18" s="614">
        <f>Table_Default__XLS_TAB_16_3[[#Totals],[ILLITERATE_CNT]]/Table_Default__XLS_TAB_16_3[[#Totals],[TOTAL]]%</f>
        <v>0.80558539205155744</v>
      </c>
      <c r="C18" s="614">
        <f>Table_Default__XLS_TAB_16_3[[#Totals],[READ_AND_WRITE_CNT]]/Table_Default__XLS_TAB_16_3[[#Totals],[TOTAL]]%</f>
        <v>1.1009667024704619</v>
      </c>
      <c r="D18" s="614">
        <f>Table_Default__XLS_TAB_16_3[[#Totals],[PRIMARY_CNT]]/Table_Default__XLS_TAB_16_3[[#Totals],[TOTAL]]%</f>
        <v>3.1417830290010738</v>
      </c>
      <c r="E18" s="614">
        <f>Table_Default__XLS_TAB_16_3[[#Totals],[PREPARATORY_CNT]]/Table_Default__XLS_TAB_16_3[[#Totals],[TOTAL]]%</f>
        <v>9.3984962406015029</v>
      </c>
      <c r="F18" s="614">
        <f>Table_Default__XLS_TAB_16_3[[#Totals],[SECONDARY_CNT]]/Table_Default__XLS_TAB_16_3[[#Totals],[TOTAL]]%</f>
        <v>52.524167561761544</v>
      </c>
      <c r="G18" s="614">
        <f>Table_Default__XLS_TAB_16_3[[#Totals],[PRE_UNIVERSITY_CNT]]/Table_Default__XLS_TAB_16_3[[#Totals],[TOTAL]]%</f>
        <v>2.7121374865735768</v>
      </c>
      <c r="H18" s="614">
        <f>Table_Default__XLS_TAB_16_3[[#Totals],[UNIV_ABOVE_CNT]]/Table_Default__XLS_TAB_16_3[[#Totals],[TOTAL]]%</f>
        <v>30.075187969924812</v>
      </c>
      <c r="I18" s="614">
        <f>Table_Default__XLS_TAB_16_3[[#Totals],[NOT_STATED_CNT]]/Table_Default__XLS_TAB_16_3[[#Totals],[TOTAL]]%</f>
        <v>0.24167561761546721</v>
      </c>
      <c r="J18" s="614">
        <f>SUM(B18:I18)</f>
        <v>100</v>
      </c>
      <c r="K18" s="995" t="s">
        <v>352</v>
      </c>
      <c r="L18" s="996"/>
    </row>
    <row r="25" spans="1:12">
      <c r="A25" s="2" t="s">
        <v>377</v>
      </c>
      <c r="B25" s="2" t="s">
        <v>392</v>
      </c>
      <c r="C25" s="2" t="s">
        <v>391</v>
      </c>
    </row>
    <row r="26" spans="1:12">
      <c r="A26" s="2" t="s">
        <v>390</v>
      </c>
      <c r="B26" s="313">
        <f>J9</f>
        <v>14</v>
      </c>
      <c r="C26" s="2">
        <f>Table_Default__XLS_TAB_16_3[[#Totals],[ILLITERATE_CNT]]</f>
        <v>30</v>
      </c>
    </row>
    <row r="27" spans="1:12">
      <c r="A27" s="2" t="s">
        <v>389</v>
      </c>
      <c r="B27" s="313">
        <f t="shared" ref="B27:B33" si="2">J10</f>
        <v>28</v>
      </c>
      <c r="C27" s="2">
        <f>Table_Default__XLS_TAB_16_3[[#Totals],[READ_AND_WRITE_CNT]]</f>
        <v>41</v>
      </c>
    </row>
    <row r="28" spans="1:12">
      <c r="A28" s="2" t="s">
        <v>388</v>
      </c>
      <c r="B28" s="313">
        <f t="shared" si="2"/>
        <v>201</v>
      </c>
      <c r="C28" s="2">
        <f>Table_Default__XLS_TAB_16_3[[#Totals],[PRIMARY_CNT]]</f>
        <v>117</v>
      </c>
    </row>
    <row r="29" spans="1:12">
      <c r="A29" s="2" t="s">
        <v>387</v>
      </c>
      <c r="B29" s="313">
        <f t="shared" si="2"/>
        <v>363</v>
      </c>
      <c r="C29" s="2">
        <f>Table_Default__XLS_TAB_16_3[[#Totals],[PREPARATORY_CNT]]</f>
        <v>350</v>
      </c>
    </row>
    <row r="30" spans="1:12">
      <c r="A30" s="2" t="s">
        <v>386</v>
      </c>
      <c r="B30" s="313">
        <f t="shared" si="2"/>
        <v>1465</v>
      </c>
      <c r="C30" s="2">
        <f>Table_Default__XLS_TAB_16_3[[#Totals],[SECONDARY_CNT]]</f>
        <v>1956</v>
      </c>
    </row>
    <row r="31" spans="1:12" ht="25.5">
      <c r="A31" s="329" t="s">
        <v>976</v>
      </c>
      <c r="B31" s="313">
        <f t="shared" si="2"/>
        <v>142</v>
      </c>
      <c r="C31" s="2">
        <f>Table_Default__XLS_TAB_16_3[[#Totals],[PRE_UNIVERSITY_CNT]]</f>
        <v>101</v>
      </c>
    </row>
    <row r="32" spans="1:12">
      <c r="A32" s="2" t="s">
        <v>385</v>
      </c>
      <c r="B32" s="313">
        <f t="shared" si="2"/>
        <v>1508</v>
      </c>
      <c r="C32" s="2">
        <f>Table_Default__XLS_TAB_16_3[[#Totals],[UNIV_ABOVE_CNT]]</f>
        <v>1120</v>
      </c>
    </row>
    <row r="33" spans="1:3">
      <c r="A33" s="2" t="s">
        <v>384</v>
      </c>
      <c r="B33" s="313">
        <f t="shared" si="2"/>
        <v>3</v>
      </c>
      <c r="C33" s="2">
        <f>Table_Default__XLS_TAB_16_3[[#Totals],[NOT_STATED_CNT]]</f>
        <v>9</v>
      </c>
    </row>
    <row r="34" spans="1:3">
      <c r="B34" s="2">
        <f>SUM(B26:B33)</f>
        <v>3724</v>
      </c>
      <c r="C34" s="2">
        <f>SUM(C26:C33)</f>
        <v>3724</v>
      </c>
    </row>
  </sheetData>
  <mergeCells count="9">
    <mergeCell ref="K18:L18"/>
    <mergeCell ref="A1:L1"/>
    <mergeCell ref="A2:L2"/>
    <mergeCell ref="A3:L3"/>
    <mergeCell ref="A4:L4"/>
    <mergeCell ref="A7:A8"/>
    <mergeCell ref="B7:J7"/>
    <mergeCell ref="K7:K8"/>
    <mergeCell ref="L7:L8"/>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3:M33"/>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33" spans="1:13" ht="15.75">
      <c r="A33" s="945" t="s">
        <v>395</v>
      </c>
      <c r="B33" s="945"/>
      <c r="C33" s="945"/>
      <c r="D33" s="945"/>
      <c r="E33" s="945"/>
      <c r="F33" s="945"/>
      <c r="G33" s="945"/>
      <c r="H33" s="945"/>
      <c r="I33" s="945"/>
      <c r="J33" s="945"/>
      <c r="K33" s="945"/>
      <c r="L33" s="945"/>
      <c r="M33" s="945"/>
    </row>
  </sheetData>
  <mergeCells count="1">
    <mergeCell ref="A33:M33"/>
  </mergeCells>
  <printOptions horizontalCentered="1" verticalCentered="1"/>
  <pageMargins left="0" right="0" top="0" bottom="0" header="0" footer="0"/>
  <pageSetup paperSize="9"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rightToLeft="1" view="pageBreakPreview" topLeftCell="A7" zoomScale="85" zoomScaleNormal="75" zoomScaleSheetLayoutView="85" workbookViewId="0">
      <selection activeCell="M21" sqref="M21"/>
    </sheetView>
  </sheetViews>
  <sheetFormatPr defaultColWidth="9.140625" defaultRowHeight="12.75"/>
  <cols>
    <col min="1" max="1" width="26.28515625" style="1" customWidth="1"/>
    <col min="2" max="2" width="8.5703125" style="1" customWidth="1"/>
    <col min="3" max="3" width="12.42578125" style="1" customWidth="1"/>
    <col min="4" max="4" width="9.85546875" style="1" customWidth="1"/>
    <col min="5" max="5" width="6.42578125" style="1" bestFit="1" customWidth="1"/>
    <col min="6" max="6" width="9.7109375" style="1" customWidth="1"/>
    <col min="7" max="7" width="9.28515625" style="1" customWidth="1"/>
    <col min="8" max="8" width="12.28515625" style="1" customWidth="1"/>
    <col min="9" max="9" width="8.5703125" style="1" customWidth="1"/>
    <col min="10" max="10" width="7.42578125" style="1" customWidth="1"/>
    <col min="11" max="11" width="7.85546875" style="1" customWidth="1"/>
    <col min="12" max="12" width="8.28515625" style="1" customWidth="1"/>
    <col min="13" max="13" width="7" style="1" bestFit="1" customWidth="1"/>
    <col min="14" max="14" width="9.85546875" style="1" customWidth="1"/>
    <col min="15" max="15" width="30.28515625" style="1" customWidth="1"/>
    <col min="16" max="16384" width="9.140625" style="1"/>
  </cols>
  <sheetData>
    <row r="1" spans="1:15" s="2" customFormat="1" ht="18.75" customHeight="1">
      <c r="A1" s="1005" t="s">
        <v>430</v>
      </c>
      <c r="B1" s="1005"/>
      <c r="C1" s="1005"/>
      <c r="D1" s="1005"/>
      <c r="E1" s="1005"/>
      <c r="F1" s="1005"/>
      <c r="G1" s="1005"/>
      <c r="H1" s="1005"/>
      <c r="I1" s="1005"/>
      <c r="J1" s="1005"/>
      <c r="K1" s="1005"/>
      <c r="L1" s="1005"/>
      <c r="M1" s="1005"/>
      <c r="N1" s="1005"/>
      <c r="O1" s="1005"/>
    </row>
    <row r="2" spans="1:15" s="2" customFormat="1" ht="15.75">
      <c r="A2" s="1006" t="s">
        <v>429</v>
      </c>
      <c r="B2" s="1006"/>
      <c r="C2" s="1006"/>
      <c r="D2" s="1006"/>
      <c r="E2" s="1006"/>
      <c r="F2" s="1006"/>
      <c r="G2" s="1006"/>
      <c r="H2" s="1006"/>
      <c r="I2" s="1006"/>
      <c r="J2" s="1006"/>
      <c r="K2" s="1006"/>
      <c r="L2" s="1006"/>
      <c r="M2" s="1006"/>
      <c r="N2" s="1006"/>
      <c r="O2" s="1006"/>
    </row>
    <row r="3" spans="1:15" s="2" customFormat="1" ht="15" customHeight="1">
      <c r="A3" s="1007">
        <v>2015</v>
      </c>
      <c r="B3" s="1007"/>
      <c r="C3" s="1007"/>
      <c r="D3" s="1007"/>
      <c r="E3" s="1007"/>
      <c r="F3" s="1007"/>
      <c r="G3" s="1007"/>
      <c r="H3" s="1007"/>
      <c r="I3" s="1007"/>
      <c r="J3" s="1007"/>
      <c r="K3" s="1007"/>
      <c r="L3" s="1007"/>
      <c r="M3" s="1007"/>
      <c r="N3" s="1007"/>
      <c r="O3" s="1007"/>
    </row>
    <row r="4" spans="1:15" s="2" customFormat="1" ht="15.75">
      <c r="A4" s="1008" t="s">
        <v>173</v>
      </c>
      <c r="B4" s="1008"/>
      <c r="C4" s="1008"/>
      <c r="D4" s="1008"/>
      <c r="E4" s="1008"/>
      <c r="F4" s="1008"/>
      <c r="G4" s="1008"/>
      <c r="H4" s="1008"/>
      <c r="I4" s="1008"/>
      <c r="J4" s="1008"/>
      <c r="K4" s="1008"/>
      <c r="L4" s="1008"/>
      <c r="M4" s="1008"/>
      <c r="N4" s="1008"/>
      <c r="O4" s="1008"/>
    </row>
    <row r="5" spans="1:15" s="2" customFormat="1" ht="15.75">
      <c r="A5" s="651"/>
      <c r="B5" s="651"/>
      <c r="C5" s="651"/>
      <c r="D5" s="651"/>
      <c r="E5" s="651"/>
      <c r="F5" s="651"/>
      <c r="G5" s="651"/>
      <c r="H5" s="651"/>
      <c r="I5" s="651"/>
      <c r="J5" s="651"/>
      <c r="K5" s="651"/>
      <c r="L5" s="651"/>
      <c r="M5" s="651"/>
      <c r="N5" s="651"/>
      <c r="O5" s="651"/>
    </row>
    <row r="6" spans="1:15" ht="15.75">
      <c r="A6" s="648" t="s">
        <v>449</v>
      </c>
      <c r="B6" s="652"/>
      <c r="C6" s="652"/>
      <c r="D6" s="652"/>
      <c r="E6" s="652"/>
      <c r="F6" s="652"/>
      <c r="G6" s="652"/>
      <c r="H6" s="652"/>
      <c r="I6" s="652"/>
      <c r="J6" s="652"/>
      <c r="K6" s="652"/>
      <c r="L6" s="652"/>
      <c r="M6" s="652"/>
      <c r="N6" s="652"/>
      <c r="O6" s="650" t="s">
        <v>448</v>
      </c>
    </row>
    <row r="7" spans="1:15" ht="20.25" customHeight="1" thickBot="1">
      <c r="A7" s="985" t="s">
        <v>426</v>
      </c>
      <c r="B7" s="1003" t="s">
        <v>425</v>
      </c>
      <c r="C7" s="1003"/>
      <c r="D7" s="1003"/>
      <c r="E7" s="1003"/>
      <c r="F7" s="1003"/>
      <c r="G7" s="1003"/>
      <c r="H7" s="1003"/>
      <c r="I7" s="1003"/>
      <c r="J7" s="1003"/>
      <c r="K7" s="1003"/>
      <c r="L7" s="1003"/>
      <c r="M7" s="1003"/>
      <c r="N7" s="1003"/>
      <c r="O7" s="997" t="s">
        <v>424</v>
      </c>
    </row>
    <row r="8" spans="1:15" ht="79.5" customHeight="1" thickBot="1">
      <c r="A8" s="1002"/>
      <c r="B8" s="587" t="s">
        <v>412</v>
      </c>
      <c r="C8" s="587" t="s">
        <v>411</v>
      </c>
      <c r="D8" s="587" t="s">
        <v>410</v>
      </c>
      <c r="E8" s="587" t="s">
        <v>409</v>
      </c>
      <c r="F8" s="588" t="s">
        <v>408</v>
      </c>
      <c r="G8" s="588" t="s">
        <v>407</v>
      </c>
      <c r="H8" s="588" t="s">
        <v>406</v>
      </c>
      <c r="I8" s="588" t="s">
        <v>405</v>
      </c>
      <c r="J8" s="588" t="s">
        <v>404</v>
      </c>
      <c r="K8" s="588" t="s">
        <v>403</v>
      </c>
      <c r="L8" s="589" t="s">
        <v>21</v>
      </c>
      <c r="M8" s="588" t="s">
        <v>401</v>
      </c>
      <c r="N8" s="587" t="s">
        <v>423</v>
      </c>
      <c r="O8" s="1004"/>
    </row>
    <row r="9" spans="1:15" ht="60.75" customHeight="1">
      <c r="A9" s="992"/>
      <c r="B9" s="136" t="s">
        <v>422</v>
      </c>
      <c r="C9" s="136" t="s">
        <v>421</v>
      </c>
      <c r="D9" s="136" t="s">
        <v>420</v>
      </c>
      <c r="E9" s="136" t="s">
        <v>419</v>
      </c>
      <c r="F9" s="136" t="s">
        <v>418</v>
      </c>
      <c r="G9" s="136" t="s">
        <v>417</v>
      </c>
      <c r="H9" s="136" t="s">
        <v>416</v>
      </c>
      <c r="I9" s="136" t="s">
        <v>415</v>
      </c>
      <c r="J9" s="136" t="s">
        <v>414</v>
      </c>
      <c r="K9" s="136" t="s">
        <v>402</v>
      </c>
      <c r="L9" s="136" t="s">
        <v>176</v>
      </c>
      <c r="M9" s="136" t="s">
        <v>400</v>
      </c>
      <c r="N9" s="136" t="s">
        <v>413</v>
      </c>
      <c r="O9" s="998"/>
    </row>
    <row r="10" spans="1:15" ht="30.75" thickBot="1">
      <c r="A10" s="219" t="s">
        <v>412</v>
      </c>
      <c r="B10" s="788">
        <v>3</v>
      </c>
      <c r="C10" s="788">
        <v>5</v>
      </c>
      <c r="D10" s="788">
        <v>28</v>
      </c>
      <c r="E10" s="788">
        <v>49</v>
      </c>
      <c r="F10" s="788">
        <v>0</v>
      </c>
      <c r="G10" s="788">
        <v>0</v>
      </c>
      <c r="H10" s="788">
        <v>0</v>
      </c>
      <c r="I10" s="788">
        <v>0</v>
      </c>
      <c r="J10" s="788">
        <v>0</v>
      </c>
      <c r="K10" s="788">
        <v>0</v>
      </c>
      <c r="L10" s="788">
        <f>SUM(B10:K10)</f>
        <v>85</v>
      </c>
      <c r="M10" s="788">
        <v>180</v>
      </c>
      <c r="N10" s="788">
        <f>SUM(L10:M10)</f>
        <v>265</v>
      </c>
      <c r="O10" s="133" t="s">
        <v>422</v>
      </c>
    </row>
    <row r="11" spans="1:15" ht="22.5" customHeight="1" thickBot="1">
      <c r="A11" s="318" t="s">
        <v>411</v>
      </c>
      <c r="B11" s="267">
        <v>1</v>
      </c>
      <c r="C11" s="267">
        <v>12</v>
      </c>
      <c r="D11" s="267">
        <v>20</v>
      </c>
      <c r="E11" s="267">
        <v>8</v>
      </c>
      <c r="F11" s="267">
        <v>1</v>
      </c>
      <c r="G11" s="267">
        <v>0</v>
      </c>
      <c r="H11" s="267">
        <v>0</v>
      </c>
      <c r="I11" s="267">
        <v>0</v>
      </c>
      <c r="J11" s="267">
        <v>0</v>
      </c>
      <c r="K11" s="267">
        <v>0</v>
      </c>
      <c r="L11" s="266">
        <f t="shared" ref="L11:L19" si="0">SUM(B11:K11)</f>
        <v>42</v>
      </c>
      <c r="M11" s="267">
        <v>59</v>
      </c>
      <c r="N11" s="266">
        <f t="shared" ref="N11:N19" si="1">SUM(L11:M11)</f>
        <v>101</v>
      </c>
      <c r="O11" s="315" t="s">
        <v>421</v>
      </c>
    </row>
    <row r="12" spans="1:15" ht="30.75" thickBot="1">
      <c r="A12" s="318" t="s">
        <v>410</v>
      </c>
      <c r="B12" s="267">
        <v>0</v>
      </c>
      <c r="C12" s="267">
        <v>32</v>
      </c>
      <c r="D12" s="267">
        <v>76</v>
      </c>
      <c r="E12" s="267">
        <v>73</v>
      </c>
      <c r="F12" s="267">
        <v>1</v>
      </c>
      <c r="G12" s="267">
        <v>0</v>
      </c>
      <c r="H12" s="267">
        <v>0</v>
      </c>
      <c r="I12" s="267">
        <v>0</v>
      </c>
      <c r="J12" s="267">
        <v>0</v>
      </c>
      <c r="K12" s="267">
        <v>0</v>
      </c>
      <c r="L12" s="266">
        <f t="shared" si="0"/>
        <v>182</v>
      </c>
      <c r="M12" s="267">
        <v>246</v>
      </c>
      <c r="N12" s="266">
        <f t="shared" si="1"/>
        <v>428</v>
      </c>
      <c r="O12" s="315" t="s">
        <v>420</v>
      </c>
    </row>
    <row r="13" spans="1:15" ht="22.5" customHeight="1" thickBot="1">
      <c r="A13" s="318" t="s">
        <v>409</v>
      </c>
      <c r="B13" s="267">
        <v>2</v>
      </c>
      <c r="C13" s="267">
        <v>36</v>
      </c>
      <c r="D13" s="267">
        <v>75</v>
      </c>
      <c r="E13" s="267">
        <v>193</v>
      </c>
      <c r="F13" s="267">
        <v>4</v>
      </c>
      <c r="G13" s="267">
        <v>0</v>
      </c>
      <c r="H13" s="267">
        <v>0</v>
      </c>
      <c r="I13" s="267">
        <v>0</v>
      </c>
      <c r="J13" s="267">
        <v>1</v>
      </c>
      <c r="K13" s="267">
        <v>0</v>
      </c>
      <c r="L13" s="266">
        <f t="shared" si="0"/>
        <v>311</v>
      </c>
      <c r="M13" s="267">
        <v>461</v>
      </c>
      <c r="N13" s="266">
        <f t="shared" si="1"/>
        <v>772</v>
      </c>
      <c r="O13" s="315" t="s">
        <v>419</v>
      </c>
    </row>
    <row r="14" spans="1:15" ht="39" thickBot="1">
      <c r="A14" s="318" t="s">
        <v>408</v>
      </c>
      <c r="B14" s="267">
        <v>0</v>
      </c>
      <c r="C14" s="267">
        <v>11</v>
      </c>
      <c r="D14" s="267">
        <v>17</v>
      </c>
      <c r="E14" s="267">
        <v>52</v>
      </c>
      <c r="F14" s="267">
        <v>7</v>
      </c>
      <c r="G14" s="267">
        <v>0</v>
      </c>
      <c r="H14" s="267">
        <v>0</v>
      </c>
      <c r="I14" s="267">
        <v>0</v>
      </c>
      <c r="J14" s="267">
        <v>0</v>
      </c>
      <c r="K14" s="267">
        <v>0</v>
      </c>
      <c r="L14" s="266">
        <f t="shared" si="0"/>
        <v>87</v>
      </c>
      <c r="M14" s="267">
        <v>167</v>
      </c>
      <c r="N14" s="266">
        <f t="shared" si="1"/>
        <v>254</v>
      </c>
      <c r="O14" s="315" t="s">
        <v>752</v>
      </c>
    </row>
    <row r="15" spans="1:15" ht="30.75" thickBot="1">
      <c r="A15" s="318" t="s">
        <v>407</v>
      </c>
      <c r="B15" s="267">
        <v>0</v>
      </c>
      <c r="C15" s="267">
        <v>0</v>
      </c>
      <c r="D15" s="267">
        <v>0</v>
      </c>
      <c r="E15" s="267">
        <v>0</v>
      </c>
      <c r="F15" s="267">
        <v>0</v>
      </c>
      <c r="G15" s="267">
        <v>0</v>
      </c>
      <c r="H15" s="267">
        <v>0</v>
      </c>
      <c r="I15" s="267">
        <v>0</v>
      </c>
      <c r="J15" s="267">
        <v>0</v>
      </c>
      <c r="K15" s="267">
        <v>0</v>
      </c>
      <c r="L15" s="266">
        <f t="shared" si="0"/>
        <v>0</v>
      </c>
      <c r="M15" s="267">
        <v>0</v>
      </c>
      <c r="N15" s="266">
        <f t="shared" si="1"/>
        <v>0</v>
      </c>
      <c r="O15" s="315" t="s">
        <v>417</v>
      </c>
    </row>
    <row r="16" spans="1:15" ht="30.75" thickBot="1">
      <c r="A16" s="318" t="s">
        <v>406</v>
      </c>
      <c r="B16" s="267">
        <v>0</v>
      </c>
      <c r="C16" s="267">
        <v>0</v>
      </c>
      <c r="D16" s="267">
        <v>0</v>
      </c>
      <c r="E16" s="267">
        <v>2</v>
      </c>
      <c r="F16" s="267">
        <v>0</v>
      </c>
      <c r="G16" s="267">
        <v>0</v>
      </c>
      <c r="H16" s="267">
        <v>0</v>
      </c>
      <c r="I16" s="267">
        <v>0</v>
      </c>
      <c r="J16" s="267">
        <v>0</v>
      </c>
      <c r="K16" s="267">
        <v>0</v>
      </c>
      <c r="L16" s="266">
        <f t="shared" si="0"/>
        <v>2</v>
      </c>
      <c r="M16" s="267">
        <v>2</v>
      </c>
      <c r="N16" s="266">
        <f t="shared" si="1"/>
        <v>4</v>
      </c>
      <c r="O16" s="315" t="s">
        <v>416</v>
      </c>
    </row>
    <row r="17" spans="1:15" ht="39" thickBot="1">
      <c r="A17" s="318" t="s">
        <v>405</v>
      </c>
      <c r="B17" s="267">
        <v>0</v>
      </c>
      <c r="C17" s="267">
        <v>0</v>
      </c>
      <c r="D17" s="267">
        <v>0</v>
      </c>
      <c r="E17" s="267">
        <v>3</v>
      </c>
      <c r="F17" s="267">
        <v>1</v>
      </c>
      <c r="G17" s="267">
        <v>0</v>
      </c>
      <c r="H17" s="267">
        <v>0</v>
      </c>
      <c r="I17" s="267">
        <v>0</v>
      </c>
      <c r="J17" s="267">
        <v>0</v>
      </c>
      <c r="K17" s="267">
        <v>0</v>
      </c>
      <c r="L17" s="266">
        <f t="shared" si="0"/>
        <v>4</v>
      </c>
      <c r="M17" s="267">
        <v>4</v>
      </c>
      <c r="N17" s="266">
        <f t="shared" si="1"/>
        <v>8</v>
      </c>
      <c r="O17" s="315" t="s">
        <v>415</v>
      </c>
    </row>
    <row r="18" spans="1:15" ht="15.75" thickBot="1">
      <c r="A18" s="318" t="s">
        <v>404</v>
      </c>
      <c r="B18" s="267">
        <v>0</v>
      </c>
      <c r="C18" s="267">
        <v>2</v>
      </c>
      <c r="D18" s="267">
        <v>2</v>
      </c>
      <c r="E18" s="267">
        <v>23</v>
      </c>
      <c r="F18" s="267">
        <v>2</v>
      </c>
      <c r="G18" s="267">
        <v>0</v>
      </c>
      <c r="H18" s="267">
        <v>0</v>
      </c>
      <c r="I18" s="267">
        <v>0</v>
      </c>
      <c r="J18" s="267">
        <v>1</v>
      </c>
      <c r="K18" s="267">
        <v>0</v>
      </c>
      <c r="L18" s="266">
        <f t="shared" si="0"/>
        <v>30</v>
      </c>
      <c r="M18" s="267">
        <v>21</v>
      </c>
      <c r="N18" s="266">
        <f t="shared" si="1"/>
        <v>51</v>
      </c>
      <c r="O18" s="315" t="s">
        <v>414</v>
      </c>
    </row>
    <row r="19" spans="1:15" ht="30">
      <c r="A19" s="319" t="s">
        <v>403</v>
      </c>
      <c r="B19" s="789">
        <v>0</v>
      </c>
      <c r="C19" s="789">
        <v>0</v>
      </c>
      <c r="D19" s="789">
        <v>0</v>
      </c>
      <c r="E19" s="789">
        <v>0</v>
      </c>
      <c r="F19" s="789">
        <v>0</v>
      </c>
      <c r="G19" s="789">
        <v>0</v>
      </c>
      <c r="H19" s="789">
        <v>0</v>
      </c>
      <c r="I19" s="789">
        <v>0</v>
      </c>
      <c r="J19" s="789">
        <v>0</v>
      </c>
      <c r="K19" s="789">
        <v>0</v>
      </c>
      <c r="L19" s="790">
        <f t="shared" si="0"/>
        <v>0</v>
      </c>
      <c r="M19" s="789">
        <v>0</v>
      </c>
      <c r="N19" s="790">
        <f t="shared" si="1"/>
        <v>0</v>
      </c>
      <c r="O19" s="316" t="s">
        <v>402</v>
      </c>
    </row>
    <row r="20" spans="1:15" ht="22.5" customHeight="1">
      <c r="A20" s="524" t="s">
        <v>21</v>
      </c>
      <c r="B20" s="787">
        <f>SUM(B10:B19)</f>
        <v>6</v>
      </c>
      <c r="C20" s="787">
        <f t="shared" ref="C20:L20" si="2">SUM(C10:C19)</f>
        <v>98</v>
      </c>
      <c r="D20" s="787">
        <f t="shared" si="2"/>
        <v>218</v>
      </c>
      <c r="E20" s="787">
        <f t="shared" si="2"/>
        <v>403</v>
      </c>
      <c r="F20" s="787">
        <f t="shared" si="2"/>
        <v>16</v>
      </c>
      <c r="G20" s="787">
        <f t="shared" si="2"/>
        <v>0</v>
      </c>
      <c r="H20" s="787">
        <f t="shared" si="2"/>
        <v>0</v>
      </c>
      <c r="I20" s="787">
        <f t="shared" si="2"/>
        <v>0</v>
      </c>
      <c r="J20" s="787">
        <f t="shared" si="2"/>
        <v>2</v>
      </c>
      <c r="K20" s="787">
        <f t="shared" si="2"/>
        <v>0</v>
      </c>
      <c r="L20" s="787">
        <f t="shared" si="2"/>
        <v>743</v>
      </c>
      <c r="M20" s="787">
        <f t="shared" ref="M20" si="3">SUM(M10:M19)</f>
        <v>1140</v>
      </c>
      <c r="N20" s="787">
        <f t="shared" ref="N20" si="4">SUM(N10:N19)</f>
        <v>1883</v>
      </c>
      <c r="O20" s="525" t="s">
        <v>176</v>
      </c>
    </row>
    <row r="21" spans="1:15" ht="22.5" customHeight="1">
      <c r="A21" s="320" t="s">
        <v>401</v>
      </c>
      <c r="B21" s="314">
        <v>0</v>
      </c>
      <c r="C21" s="314">
        <v>10</v>
      </c>
      <c r="D21" s="314">
        <v>16</v>
      </c>
      <c r="E21" s="314">
        <v>24</v>
      </c>
      <c r="F21" s="314">
        <v>1</v>
      </c>
      <c r="G21" s="314">
        <v>0</v>
      </c>
      <c r="H21" s="314">
        <v>0</v>
      </c>
      <c r="I21" s="314">
        <v>0</v>
      </c>
      <c r="J21" s="314">
        <v>0</v>
      </c>
      <c r="K21" s="314">
        <v>0</v>
      </c>
      <c r="L21" s="314">
        <v>51</v>
      </c>
      <c r="M21" s="314">
        <v>135</v>
      </c>
      <c r="N21" s="314">
        <v>186</v>
      </c>
      <c r="O21" s="317" t="s">
        <v>400</v>
      </c>
    </row>
    <row r="22" spans="1:15" ht="22.5" customHeight="1">
      <c r="A22" s="791" t="s">
        <v>399</v>
      </c>
      <c r="B22" s="792">
        <f>(SUM(B20+B21))</f>
        <v>6</v>
      </c>
      <c r="C22" s="792">
        <f t="shared" ref="C22:N22" si="5">(SUM(C20+C21))</f>
        <v>108</v>
      </c>
      <c r="D22" s="792">
        <f t="shared" si="5"/>
        <v>234</v>
      </c>
      <c r="E22" s="792">
        <f t="shared" si="5"/>
        <v>427</v>
      </c>
      <c r="F22" s="792">
        <f t="shared" si="5"/>
        <v>17</v>
      </c>
      <c r="G22" s="792">
        <f t="shared" si="5"/>
        <v>0</v>
      </c>
      <c r="H22" s="792">
        <f t="shared" si="5"/>
        <v>0</v>
      </c>
      <c r="I22" s="792">
        <f t="shared" si="5"/>
        <v>0</v>
      </c>
      <c r="J22" s="792">
        <f t="shared" si="5"/>
        <v>2</v>
      </c>
      <c r="K22" s="792">
        <f t="shared" si="5"/>
        <v>0</v>
      </c>
      <c r="L22" s="792">
        <f t="shared" si="5"/>
        <v>794</v>
      </c>
      <c r="M22" s="792">
        <f t="shared" si="5"/>
        <v>1275</v>
      </c>
      <c r="N22" s="792">
        <f t="shared" si="5"/>
        <v>2069</v>
      </c>
      <c r="O22" s="793" t="s">
        <v>398</v>
      </c>
    </row>
    <row r="23" spans="1:15">
      <c r="A23" s="135" t="s">
        <v>397</v>
      </c>
      <c r="O23" s="134" t="s">
        <v>396</v>
      </c>
    </row>
  </sheetData>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80" orientation="landscape" r:id="rId1"/>
  <headerFooter alignWithMargins="0"/>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rightToLeft="1" view="pageBreakPreview" topLeftCell="A11" zoomScale="85" zoomScaleNormal="75" zoomScaleSheetLayoutView="85" workbookViewId="0">
      <selection activeCell="J28" sqref="J28"/>
    </sheetView>
  </sheetViews>
  <sheetFormatPr defaultColWidth="9.140625" defaultRowHeight="12.75"/>
  <cols>
    <col min="1" max="1" width="26.28515625" style="1" customWidth="1"/>
    <col min="2" max="2" width="8.5703125" style="1" customWidth="1"/>
    <col min="3" max="3" width="12.42578125" style="1" customWidth="1"/>
    <col min="4" max="4" width="9.85546875" style="1" customWidth="1"/>
    <col min="5" max="5" width="6.42578125" style="1" bestFit="1" customWidth="1"/>
    <col min="6" max="6" width="9.7109375" style="1" customWidth="1"/>
    <col min="7" max="7" width="9.28515625" style="1" customWidth="1"/>
    <col min="8" max="8" width="12.28515625" style="1" customWidth="1"/>
    <col min="9" max="9" width="8.5703125" style="1" customWidth="1"/>
    <col min="10" max="10" width="7.42578125" style="1" customWidth="1"/>
    <col min="11" max="11" width="7.85546875" style="1" customWidth="1"/>
    <col min="12" max="12" width="8.28515625" style="1" customWidth="1"/>
    <col min="13" max="13" width="7" style="1" bestFit="1" customWidth="1"/>
    <col min="14" max="14" width="9.85546875" style="1" customWidth="1"/>
    <col min="15" max="15" width="30.28515625" style="1" customWidth="1"/>
    <col min="16" max="16384" width="9.140625" style="1"/>
  </cols>
  <sheetData>
    <row r="1" spans="1:15" s="2" customFormat="1" ht="18.75" customHeight="1">
      <c r="A1" s="1005" t="s">
        <v>430</v>
      </c>
      <c r="B1" s="1005"/>
      <c r="C1" s="1005"/>
      <c r="D1" s="1005"/>
      <c r="E1" s="1005"/>
      <c r="F1" s="1005"/>
      <c r="G1" s="1005"/>
      <c r="H1" s="1005"/>
      <c r="I1" s="1005"/>
      <c r="J1" s="1005"/>
      <c r="K1" s="1005"/>
      <c r="L1" s="1005"/>
      <c r="M1" s="1005"/>
      <c r="N1" s="1005"/>
      <c r="O1" s="1005"/>
    </row>
    <row r="2" spans="1:15" s="2" customFormat="1" ht="15.75">
      <c r="A2" s="1006" t="s">
        <v>429</v>
      </c>
      <c r="B2" s="1006"/>
      <c r="C2" s="1006"/>
      <c r="D2" s="1006"/>
      <c r="E2" s="1006"/>
      <c r="F2" s="1006"/>
      <c r="G2" s="1006"/>
      <c r="H2" s="1006"/>
      <c r="I2" s="1006"/>
      <c r="J2" s="1006"/>
      <c r="K2" s="1006"/>
      <c r="L2" s="1006"/>
      <c r="M2" s="1006"/>
      <c r="N2" s="1006"/>
      <c r="O2" s="1006"/>
    </row>
    <row r="3" spans="1:15" s="2" customFormat="1" ht="15" customHeight="1">
      <c r="A3" s="1007">
        <v>2015</v>
      </c>
      <c r="B3" s="1007"/>
      <c r="C3" s="1007"/>
      <c r="D3" s="1007"/>
      <c r="E3" s="1007"/>
      <c r="F3" s="1007"/>
      <c r="G3" s="1007"/>
      <c r="H3" s="1007"/>
      <c r="I3" s="1007"/>
      <c r="J3" s="1007"/>
      <c r="K3" s="1007"/>
      <c r="L3" s="1007"/>
      <c r="M3" s="1007"/>
      <c r="N3" s="1007"/>
      <c r="O3" s="1007"/>
    </row>
    <row r="4" spans="1:15" s="2" customFormat="1" ht="15.75">
      <c r="A4" s="1008" t="s">
        <v>172</v>
      </c>
      <c r="B4" s="1008"/>
      <c r="C4" s="1008"/>
      <c r="D4" s="1008"/>
      <c r="E4" s="1008"/>
      <c r="F4" s="1008"/>
      <c r="G4" s="1008"/>
      <c r="H4" s="1008"/>
      <c r="I4" s="1008"/>
      <c r="J4" s="1008"/>
      <c r="K4" s="1008"/>
      <c r="L4" s="1008"/>
      <c r="M4" s="1008"/>
      <c r="N4" s="1008"/>
      <c r="O4" s="1008"/>
    </row>
    <row r="5" spans="1:15" s="2" customFormat="1" ht="15.75">
      <c r="A5" s="651"/>
      <c r="B5" s="651"/>
      <c r="C5" s="651"/>
      <c r="D5" s="651"/>
      <c r="E5" s="651"/>
      <c r="F5" s="651"/>
      <c r="G5" s="651"/>
      <c r="H5" s="651"/>
      <c r="I5" s="651"/>
      <c r="J5" s="651"/>
      <c r="K5" s="651"/>
      <c r="L5" s="651"/>
      <c r="M5" s="651"/>
      <c r="N5" s="651"/>
      <c r="O5" s="651"/>
    </row>
    <row r="6" spans="1:15" ht="15.75">
      <c r="A6" s="648" t="s">
        <v>454</v>
      </c>
      <c r="B6" s="652"/>
      <c r="C6" s="652"/>
      <c r="D6" s="652"/>
      <c r="E6" s="652"/>
      <c r="F6" s="652"/>
      <c r="G6" s="652"/>
      <c r="H6" s="652"/>
      <c r="I6" s="652"/>
      <c r="J6" s="652"/>
      <c r="K6" s="652"/>
      <c r="L6" s="652"/>
      <c r="M6" s="652"/>
      <c r="N6" s="652"/>
      <c r="O6" s="650" t="s">
        <v>453</v>
      </c>
    </row>
    <row r="7" spans="1:15" ht="20.25" customHeight="1" thickBot="1">
      <c r="A7" s="985" t="s">
        <v>426</v>
      </c>
      <c r="B7" s="1003" t="s">
        <v>425</v>
      </c>
      <c r="C7" s="1003"/>
      <c r="D7" s="1003"/>
      <c r="E7" s="1003"/>
      <c r="F7" s="1003"/>
      <c r="G7" s="1003"/>
      <c r="H7" s="1003"/>
      <c r="I7" s="1003"/>
      <c r="J7" s="1003"/>
      <c r="K7" s="1003"/>
      <c r="L7" s="1003"/>
      <c r="M7" s="1003"/>
      <c r="N7" s="1003"/>
      <c r="O7" s="997" t="s">
        <v>424</v>
      </c>
    </row>
    <row r="8" spans="1:15" ht="79.5" customHeight="1" thickBot="1">
      <c r="A8" s="1002"/>
      <c r="B8" s="587" t="s">
        <v>412</v>
      </c>
      <c r="C8" s="587" t="s">
        <v>411</v>
      </c>
      <c r="D8" s="587" t="s">
        <v>410</v>
      </c>
      <c r="E8" s="587" t="s">
        <v>409</v>
      </c>
      <c r="F8" s="588" t="s">
        <v>408</v>
      </c>
      <c r="G8" s="588" t="s">
        <v>407</v>
      </c>
      <c r="H8" s="588" t="s">
        <v>406</v>
      </c>
      <c r="I8" s="588" t="s">
        <v>405</v>
      </c>
      <c r="J8" s="588" t="s">
        <v>404</v>
      </c>
      <c r="K8" s="588" t="s">
        <v>403</v>
      </c>
      <c r="L8" s="589" t="s">
        <v>21</v>
      </c>
      <c r="M8" s="588" t="s">
        <v>401</v>
      </c>
      <c r="N8" s="587" t="s">
        <v>423</v>
      </c>
      <c r="O8" s="1004"/>
    </row>
    <row r="9" spans="1:15" ht="60.75" customHeight="1">
      <c r="A9" s="992"/>
      <c r="B9" s="136" t="s">
        <v>422</v>
      </c>
      <c r="C9" s="136" t="s">
        <v>421</v>
      </c>
      <c r="D9" s="136" t="s">
        <v>420</v>
      </c>
      <c r="E9" s="136" t="s">
        <v>419</v>
      </c>
      <c r="F9" s="136" t="s">
        <v>418</v>
      </c>
      <c r="G9" s="136" t="s">
        <v>417</v>
      </c>
      <c r="H9" s="136" t="s">
        <v>416</v>
      </c>
      <c r="I9" s="136" t="s">
        <v>415</v>
      </c>
      <c r="J9" s="136" t="s">
        <v>414</v>
      </c>
      <c r="K9" s="136" t="s">
        <v>402</v>
      </c>
      <c r="L9" s="136" t="s">
        <v>176</v>
      </c>
      <c r="M9" s="136" t="s">
        <v>400</v>
      </c>
      <c r="N9" s="136" t="s">
        <v>413</v>
      </c>
      <c r="O9" s="998"/>
    </row>
    <row r="10" spans="1:15" ht="30.75" thickBot="1">
      <c r="A10" s="219" t="s">
        <v>412</v>
      </c>
      <c r="B10" s="788">
        <v>6</v>
      </c>
      <c r="C10" s="788">
        <v>17</v>
      </c>
      <c r="D10" s="788">
        <v>11</v>
      </c>
      <c r="E10" s="788">
        <v>11</v>
      </c>
      <c r="F10" s="788">
        <v>8</v>
      </c>
      <c r="G10" s="788">
        <v>0</v>
      </c>
      <c r="H10" s="788">
        <v>0</v>
      </c>
      <c r="I10" s="788">
        <v>0</v>
      </c>
      <c r="J10" s="788">
        <v>1</v>
      </c>
      <c r="K10" s="788">
        <v>0</v>
      </c>
      <c r="L10" s="788">
        <f>SUM(B10:K10)</f>
        <v>54</v>
      </c>
      <c r="M10" s="788">
        <v>40</v>
      </c>
      <c r="N10" s="788">
        <f>SUM(L10:M10)</f>
        <v>94</v>
      </c>
      <c r="O10" s="133" t="s">
        <v>422</v>
      </c>
    </row>
    <row r="11" spans="1:15" ht="22.5" customHeight="1" thickBot="1">
      <c r="A11" s="318" t="s">
        <v>411</v>
      </c>
      <c r="B11" s="267">
        <v>4</v>
      </c>
      <c r="C11" s="267">
        <v>82</v>
      </c>
      <c r="D11" s="267">
        <v>57</v>
      </c>
      <c r="E11" s="267">
        <v>18</v>
      </c>
      <c r="F11" s="267">
        <v>12</v>
      </c>
      <c r="G11" s="267">
        <v>0</v>
      </c>
      <c r="H11" s="267">
        <v>0</v>
      </c>
      <c r="I11" s="267">
        <v>0</v>
      </c>
      <c r="J11" s="267">
        <v>5</v>
      </c>
      <c r="K11" s="267">
        <v>0</v>
      </c>
      <c r="L11" s="266">
        <f t="shared" ref="L11:L19" si="0">SUM(B11:K11)</f>
        <v>178</v>
      </c>
      <c r="M11" s="267">
        <v>132</v>
      </c>
      <c r="N11" s="266">
        <f t="shared" ref="N11:N19" si="1">SUM(L11:M11)</f>
        <v>310</v>
      </c>
      <c r="O11" s="315" t="s">
        <v>421</v>
      </c>
    </row>
    <row r="12" spans="1:15" ht="30.75" thickBot="1">
      <c r="A12" s="318" t="s">
        <v>410</v>
      </c>
      <c r="B12" s="267">
        <v>2</v>
      </c>
      <c r="C12" s="267">
        <v>60</v>
      </c>
      <c r="D12" s="267">
        <v>81</v>
      </c>
      <c r="E12" s="267">
        <v>38</v>
      </c>
      <c r="F12" s="267">
        <v>20</v>
      </c>
      <c r="G12" s="267">
        <v>0</v>
      </c>
      <c r="H12" s="267">
        <v>1</v>
      </c>
      <c r="I12" s="267">
        <v>0</v>
      </c>
      <c r="J12" s="267">
        <v>3</v>
      </c>
      <c r="K12" s="267">
        <v>0</v>
      </c>
      <c r="L12" s="266">
        <f t="shared" si="0"/>
        <v>205</v>
      </c>
      <c r="M12" s="267">
        <v>191</v>
      </c>
      <c r="N12" s="266">
        <f t="shared" si="1"/>
        <v>396</v>
      </c>
      <c r="O12" s="315" t="s">
        <v>420</v>
      </c>
    </row>
    <row r="13" spans="1:15" ht="22.5" customHeight="1" thickBot="1">
      <c r="A13" s="318" t="s">
        <v>409</v>
      </c>
      <c r="B13" s="267">
        <v>3</v>
      </c>
      <c r="C13" s="267">
        <v>37</v>
      </c>
      <c r="D13" s="267">
        <v>41</v>
      </c>
      <c r="E13" s="267">
        <v>53</v>
      </c>
      <c r="F13" s="267">
        <v>25</v>
      </c>
      <c r="G13" s="267">
        <v>0</v>
      </c>
      <c r="H13" s="267">
        <v>2</v>
      </c>
      <c r="I13" s="267">
        <v>0</v>
      </c>
      <c r="J13" s="267">
        <v>6</v>
      </c>
      <c r="K13" s="267">
        <v>0</v>
      </c>
      <c r="L13" s="266">
        <f t="shared" si="0"/>
        <v>167</v>
      </c>
      <c r="M13" s="267">
        <v>246</v>
      </c>
      <c r="N13" s="266">
        <f t="shared" si="1"/>
        <v>413</v>
      </c>
      <c r="O13" s="315" t="s">
        <v>419</v>
      </c>
    </row>
    <row r="14" spans="1:15" ht="39" thickBot="1">
      <c r="A14" s="318" t="s">
        <v>408</v>
      </c>
      <c r="B14" s="267">
        <v>0</v>
      </c>
      <c r="C14" s="267">
        <v>13</v>
      </c>
      <c r="D14" s="267">
        <v>13</v>
      </c>
      <c r="E14" s="267">
        <v>24</v>
      </c>
      <c r="F14" s="267">
        <v>23</v>
      </c>
      <c r="G14" s="267">
        <v>0</v>
      </c>
      <c r="H14" s="267">
        <v>0</v>
      </c>
      <c r="I14" s="267">
        <v>0</v>
      </c>
      <c r="J14" s="267">
        <v>4</v>
      </c>
      <c r="K14" s="267">
        <v>0</v>
      </c>
      <c r="L14" s="266">
        <f t="shared" si="0"/>
        <v>77</v>
      </c>
      <c r="M14" s="267">
        <v>133</v>
      </c>
      <c r="N14" s="266">
        <f t="shared" si="1"/>
        <v>210</v>
      </c>
      <c r="O14" s="315" t="s">
        <v>752</v>
      </c>
    </row>
    <row r="15" spans="1:15" ht="30.75" thickBot="1">
      <c r="A15" s="318" t="s">
        <v>407</v>
      </c>
      <c r="B15" s="267">
        <v>0</v>
      </c>
      <c r="C15" s="267">
        <v>0</v>
      </c>
      <c r="D15" s="267">
        <v>0</v>
      </c>
      <c r="E15" s="267">
        <v>0</v>
      </c>
      <c r="F15" s="267">
        <v>0</v>
      </c>
      <c r="G15" s="267">
        <v>0</v>
      </c>
      <c r="H15" s="267">
        <v>0</v>
      </c>
      <c r="I15" s="267">
        <v>0</v>
      </c>
      <c r="J15" s="267">
        <v>0</v>
      </c>
      <c r="K15" s="267">
        <v>0</v>
      </c>
      <c r="L15" s="266">
        <f t="shared" si="0"/>
        <v>0</v>
      </c>
      <c r="M15" s="267">
        <v>0</v>
      </c>
      <c r="N15" s="266">
        <f t="shared" si="1"/>
        <v>0</v>
      </c>
      <c r="O15" s="315" t="s">
        <v>417</v>
      </c>
    </row>
    <row r="16" spans="1:15" ht="30.75" thickBot="1">
      <c r="A16" s="318" t="s">
        <v>406</v>
      </c>
      <c r="B16" s="267">
        <v>0</v>
      </c>
      <c r="C16" s="267">
        <v>1</v>
      </c>
      <c r="D16" s="267">
        <v>3</v>
      </c>
      <c r="E16" s="267">
        <v>3</v>
      </c>
      <c r="F16" s="267">
        <v>1</v>
      </c>
      <c r="G16" s="267">
        <v>0</v>
      </c>
      <c r="H16" s="267">
        <v>0</v>
      </c>
      <c r="I16" s="267">
        <v>0</v>
      </c>
      <c r="J16" s="267">
        <v>2</v>
      </c>
      <c r="K16" s="267">
        <v>0</v>
      </c>
      <c r="L16" s="266">
        <f t="shared" si="0"/>
        <v>10</v>
      </c>
      <c r="M16" s="267">
        <v>9</v>
      </c>
      <c r="N16" s="266">
        <f t="shared" si="1"/>
        <v>19</v>
      </c>
      <c r="O16" s="315" t="s">
        <v>416</v>
      </c>
    </row>
    <row r="17" spans="1:15" ht="39" thickBot="1">
      <c r="A17" s="318" t="s">
        <v>405</v>
      </c>
      <c r="B17" s="267">
        <v>0</v>
      </c>
      <c r="C17" s="267">
        <v>3</v>
      </c>
      <c r="D17" s="267">
        <v>1</v>
      </c>
      <c r="E17" s="267">
        <v>2</v>
      </c>
      <c r="F17" s="267">
        <v>6</v>
      </c>
      <c r="G17" s="267">
        <v>0</v>
      </c>
      <c r="H17" s="267">
        <v>0</v>
      </c>
      <c r="I17" s="267">
        <v>0</v>
      </c>
      <c r="J17" s="267">
        <v>4</v>
      </c>
      <c r="K17" s="267">
        <v>0</v>
      </c>
      <c r="L17" s="266">
        <f t="shared" si="0"/>
        <v>16</v>
      </c>
      <c r="M17" s="267">
        <v>18</v>
      </c>
      <c r="N17" s="266">
        <f t="shared" si="1"/>
        <v>34</v>
      </c>
      <c r="O17" s="315" t="s">
        <v>415</v>
      </c>
    </row>
    <row r="18" spans="1:15" ht="15.75" thickBot="1">
      <c r="A18" s="318" t="s">
        <v>404</v>
      </c>
      <c r="B18" s="267">
        <v>0</v>
      </c>
      <c r="C18" s="267">
        <v>3</v>
      </c>
      <c r="D18" s="267">
        <v>2</v>
      </c>
      <c r="E18" s="267">
        <v>3</v>
      </c>
      <c r="F18" s="267">
        <v>2</v>
      </c>
      <c r="G18" s="267">
        <v>0</v>
      </c>
      <c r="H18" s="267">
        <v>0</v>
      </c>
      <c r="I18" s="267">
        <v>0</v>
      </c>
      <c r="J18" s="267">
        <v>2</v>
      </c>
      <c r="K18" s="267">
        <v>0</v>
      </c>
      <c r="L18" s="266">
        <f t="shared" si="0"/>
        <v>12</v>
      </c>
      <c r="M18" s="267">
        <v>25</v>
      </c>
      <c r="N18" s="266">
        <f t="shared" si="1"/>
        <v>37</v>
      </c>
      <c r="O18" s="315" t="s">
        <v>414</v>
      </c>
    </row>
    <row r="19" spans="1:15" ht="30">
      <c r="A19" s="319" t="s">
        <v>403</v>
      </c>
      <c r="B19" s="789">
        <v>0</v>
      </c>
      <c r="C19" s="789">
        <v>0</v>
      </c>
      <c r="D19" s="789">
        <v>0</v>
      </c>
      <c r="E19" s="789">
        <v>0</v>
      </c>
      <c r="F19" s="789">
        <v>0</v>
      </c>
      <c r="G19" s="789">
        <v>0</v>
      </c>
      <c r="H19" s="789">
        <v>0</v>
      </c>
      <c r="I19" s="789">
        <v>0</v>
      </c>
      <c r="J19" s="789">
        <v>0</v>
      </c>
      <c r="K19" s="789">
        <v>0</v>
      </c>
      <c r="L19" s="790">
        <f t="shared" si="0"/>
        <v>0</v>
      </c>
      <c r="M19" s="789">
        <v>0</v>
      </c>
      <c r="N19" s="790">
        <f t="shared" si="1"/>
        <v>0</v>
      </c>
      <c r="O19" s="316" t="s">
        <v>402</v>
      </c>
    </row>
    <row r="20" spans="1:15" ht="22.5" customHeight="1">
      <c r="A20" s="524" t="s">
        <v>21</v>
      </c>
      <c r="B20" s="787">
        <f>SUM(B10:B19)</f>
        <v>15</v>
      </c>
      <c r="C20" s="787">
        <f t="shared" ref="C20:N20" si="2">SUM(C10:C19)</f>
        <v>216</v>
      </c>
      <c r="D20" s="787">
        <f t="shared" si="2"/>
        <v>209</v>
      </c>
      <c r="E20" s="787">
        <f t="shared" si="2"/>
        <v>152</v>
      </c>
      <c r="F20" s="787">
        <f t="shared" si="2"/>
        <v>97</v>
      </c>
      <c r="G20" s="787">
        <f t="shared" si="2"/>
        <v>0</v>
      </c>
      <c r="H20" s="787">
        <f t="shared" si="2"/>
        <v>3</v>
      </c>
      <c r="I20" s="787">
        <f t="shared" si="2"/>
        <v>0</v>
      </c>
      <c r="J20" s="787">
        <f t="shared" si="2"/>
        <v>27</v>
      </c>
      <c r="K20" s="787">
        <f t="shared" si="2"/>
        <v>0</v>
      </c>
      <c r="L20" s="787">
        <f t="shared" si="2"/>
        <v>719</v>
      </c>
      <c r="M20" s="787">
        <f t="shared" si="2"/>
        <v>794</v>
      </c>
      <c r="N20" s="787">
        <f t="shared" si="2"/>
        <v>1513</v>
      </c>
      <c r="O20" s="525" t="s">
        <v>176</v>
      </c>
    </row>
    <row r="21" spans="1:15" ht="22.5" customHeight="1">
      <c r="A21" s="320" t="s">
        <v>401</v>
      </c>
      <c r="B21" s="314">
        <v>2</v>
      </c>
      <c r="C21" s="314">
        <v>17</v>
      </c>
      <c r="D21" s="314">
        <v>18</v>
      </c>
      <c r="E21" s="314">
        <v>12</v>
      </c>
      <c r="F21" s="314">
        <v>5</v>
      </c>
      <c r="G21" s="314">
        <v>0</v>
      </c>
      <c r="H21" s="314">
        <v>0</v>
      </c>
      <c r="I21" s="314">
        <v>0</v>
      </c>
      <c r="J21" s="314">
        <v>0</v>
      </c>
      <c r="K21" s="314">
        <v>0</v>
      </c>
      <c r="L21" s="314">
        <v>54</v>
      </c>
      <c r="M21" s="314">
        <v>88</v>
      </c>
      <c r="N21" s="314">
        <v>142</v>
      </c>
      <c r="O21" s="317" t="s">
        <v>400</v>
      </c>
    </row>
    <row r="22" spans="1:15" ht="22.5" customHeight="1">
      <c r="A22" s="791" t="s">
        <v>399</v>
      </c>
      <c r="B22" s="792">
        <f>SUM(B20+B21)</f>
        <v>17</v>
      </c>
      <c r="C22" s="792">
        <f t="shared" ref="C22:N22" si="3">SUM(C20+C21)</f>
        <v>233</v>
      </c>
      <c r="D22" s="792">
        <f t="shared" si="3"/>
        <v>227</v>
      </c>
      <c r="E22" s="792">
        <f t="shared" si="3"/>
        <v>164</v>
      </c>
      <c r="F22" s="792">
        <f t="shared" si="3"/>
        <v>102</v>
      </c>
      <c r="G22" s="792">
        <f t="shared" si="3"/>
        <v>0</v>
      </c>
      <c r="H22" s="792">
        <f t="shared" si="3"/>
        <v>3</v>
      </c>
      <c r="I22" s="792">
        <f t="shared" si="3"/>
        <v>0</v>
      </c>
      <c r="J22" s="792">
        <f t="shared" si="3"/>
        <v>27</v>
      </c>
      <c r="K22" s="792">
        <f t="shared" si="3"/>
        <v>0</v>
      </c>
      <c r="L22" s="792">
        <f t="shared" si="3"/>
        <v>773</v>
      </c>
      <c r="M22" s="792">
        <f t="shared" si="3"/>
        <v>882</v>
      </c>
      <c r="N22" s="792">
        <f t="shared" si="3"/>
        <v>1655</v>
      </c>
      <c r="O22" s="793" t="s">
        <v>398</v>
      </c>
    </row>
    <row r="23" spans="1:15">
      <c r="A23" s="135" t="s">
        <v>397</v>
      </c>
      <c r="O23" s="134" t="s">
        <v>396</v>
      </c>
    </row>
  </sheetData>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80" orientation="landscape" r:id="rId1"/>
  <headerFooter alignWithMargins="0"/>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rightToLeft="1" view="pageBreakPreview" topLeftCell="A7" zoomScale="85" zoomScaleNormal="75" zoomScaleSheetLayoutView="85" workbookViewId="0">
      <selection activeCell="M21" sqref="M21"/>
    </sheetView>
  </sheetViews>
  <sheetFormatPr defaultColWidth="9.140625" defaultRowHeight="12.75"/>
  <cols>
    <col min="1" max="1" width="26.28515625" style="1" customWidth="1"/>
    <col min="2" max="2" width="8.5703125" style="1" customWidth="1"/>
    <col min="3" max="3" width="12.42578125" style="1" customWidth="1"/>
    <col min="4" max="4" width="9.85546875" style="1" customWidth="1"/>
    <col min="5" max="5" width="6.42578125" style="1" bestFit="1" customWidth="1"/>
    <col min="6" max="6" width="9.7109375" style="1" customWidth="1"/>
    <col min="7" max="7" width="9.28515625" style="1" customWidth="1"/>
    <col min="8" max="8" width="12.28515625" style="1" customWidth="1"/>
    <col min="9" max="9" width="8.5703125" style="1" customWidth="1"/>
    <col min="10" max="10" width="7.42578125" style="1" customWidth="1"/>
    <col min="11" max="11" width="7.85546875" style="1" customWidth="1"/>
    <col min="12" max="12" width="8.28515625" style="1" customWidth="1"/>
    <col min="13" max="13" width="7" style="1" bestFit="1" customWidth="1"/>
    <col min="14" max="14" width="9.85546875" style="1" customWidth="1"/>
    <col min="15" max="15" width="30.28515625" style="1" customWidth="1"/>
    <col min="16" max="16384" width="9.140625" style="1"/>
  </cols>
  <sheetData>
    <row r="1" spans="1:15" s="2" customFormat="1" ht="18.75" customHeight="1">
      <c r="A1" s="1005" t="s">
        <v>430</v>
      </c>
      <c r="B1" s="1005"/>
      <c r="C1" s="1005"/>
      <c r="D1" s="1005"/>
      <c r="E1" s="1005"/>
      <c r="F1" s="1005"/>
      <c r="G1" s="1005"/>
      <c r="H1" s="1005"/>
      <c r="I1" s="1005"/>
      <c r="J1" s="1005"/>
      <c r="K1" s="1005"/>
      <c r="L1" s="1005"/>
      <c r="M1" s="1005"/>
      <c r="N1" s="1005"/>
      <c r="O1" s="1005"/>
    </row>
    <row r="2" spans="1:15" s="2" customFormat="1" ht="15.75">
      <c r="A2" s="1006" t="s">
        <v>429</v>
      </c>
      <c r="B2" s="1006"/>
      <c r="C2" s="1006"/>
      <c r="D2" s="1006"/>
      <c r="E2" s="1006"/>
      <c r="F2" s="1006"/>
      <c r="G2" s="1006"/>
      <c r="H2" s="1006"/>
      <c r="I2" s="1006"/>
      <c r="J2" s="1006"/>
      <c r="K2" s="1006"/>
      <c r="L2" s="1006"/>
      <c r="M2" s="1006"/>
      <c r="N2" s="1006"/>
      <c r="O2" s="1006"/>
    </row>
    <row r="3" spans="1:15" s="2" customFormat="1" ht="15" customHeight="1">
      <c r="A3" s="1007">
        <v>2015</v>
      </c>
      <c r="B3" s="1007"/>
      <c r="C3" s="1007"/>
      <c r="D3" s="1007"/>
      <c r="E3" s="1007"/>
      <c r="F3" s="1007"/>
      <c r="G3" s="1007"/>
      <c r="H3" s="1007"/>
      <c r="I3" s="1007"/>
      <c r="J3" s="1007"/>
      <c r="K3" s="1007"/>
      <c r="L3" s="1007"/>
      <c r="M3" s="1007"/>
      <c r="N3" s="1007"/>
      <c r="O3" s="1007"/>
    </row>
    <row r="4" spans="1:15" s="2" customFormat="1" ht="15.75">
      <c r="A4" s="1008" t="s">
        <v>1</v>
      </c>
      <c r="B4" s="1008"/>
      <c r="C4" s="1008"/>
      <c r="D4" s="1008"/>
      <c r="E4" s="1008"/>
      <c r="F4" s="1008"/>
      <c r="G4" s="1008"/>
      <c r="H4" s="1008"/>
      <c r="I4" s="1008"/>
      <c r="J4" s="1008"/>
      <c r="K4" s="1008"/>
      <c r="L4" s="1008"/>
      <c r="M4" s="1008"/>
      <c r="N4" s="1008"/>
      <c r="O4" s="1008"/>
    </row>
    <row r="5" spans="1:15" s="2" customFormat="1" ht="15.75">
      <c r="A5" s="786"/>
      <c r="B5" s="786"/>
      <c r="C5" s="786"/>
      <c r="D5" s="786"/>
      <c r="E5" s="786"/>
      <c r="F5" s="786"/>
      <c r="G5" s="786"/>
      <c r="H5" s="786"/>
      <c r="I5" s="786"/>
      <c r="J5" s="786"/>
      <c r="K5" s="786"/>
      <c r="L5" s="786"/>
      <c r="M5" s="786"/>
      <c r="N5" s="786"/>
      <c r="O5" s="786"/>
    </row>
    <row r="6" spans="1:15" ht="15.75">
      <c r="A6" s="648" t="s">
        <v>457</v>
      </c>
      <c r="B6" s="652"/>
      <c r="C6" s="652"/>
      <c r="D6" s="652"/>
      <c r="E6" s="652"/>
      <c r="F6" s="652"/>
      <c r="G6" s="652"/>
      <c r="H6" s="652"/>
      <c r="I6" s="652"/>
      <c r="J6" s="652"/>
      <c r="K6" s="652"/>
      <c r="L6" s="652"/>
      <c r="M6" s="652"/>
      <c r="N6" s="652"/>
      <c r="O6" s="650" t="s">
        <v>456</v>
      </c>
    </row>
    <row r="7" spans="1:15" ht="20.25" customHeight="1" thickBot="1">
      <c r="A7" s="985" t="s">
        <v>426</v>
      </c>
      <c r="B7" s="1003" t="s">
        <v>425</v>
      </c>
      <c r="C7" s="1003"/>
      <c r="D7" s="1003"/>
      <c r="E7" s="1003"/>
      <c r="F7" s="1003"/>
      <c r="G7" s="1003"/>
      <c r="H7" s="1003"/>
      <c r="I7" s="1003"/>
      <c r="J7" s="1003"/>
      <c r="K7" s="1003"/>
      <c r="L7" s="1003"/>
      <c r="M7" s="1003"/>
      <c r="N7" s="1003"/>
      <c r="O7" s="997" t="s">
        <v>424</v>
      </c>
    </row>
    <row r="8" spans="1:15" ht="79.5" customHeight="1" thickBot="1">
      <c r="A8" s="1002"/>
      <c r="B8" s="587" t="s">
        <v>412</v>
      </c>
      <c r="C8" s="587" t="s">
        <v>411</v>
      </c>
      <c r="D8" s="587" t="s">
        <v>410</v>
      </c>
      <c r="E8" s="587" t="s">
        <v>409</v>
      </c>
      <c r="F8" s="588" t="s">
        <v>408</v>
      </c>
      <c r="G8" s="588" t="s">
        <v>407</v>
      </c>
      <c r="H8" s="588" t="s">
        <v>406</v>
      </c>
      <c r="I8" s="588" t="s">
        <v>405</v>
      </c>
      <c r="J8" s="588" t="s">
        <v>404</v>
      </c>
      <c r="K8" s="588" t="s">
        <v>403</v>
      </c>
      <c r="L8" s="589" t="s">
        <v>21</v>
      </c>
      <c r="M8" s="588" t="s">
        <v>401</v>
      </c>
      <c r="N8" s="587" t="s">
        <v>423</v>
      </c>
      <c r="O8" s="1004"/>
    </row>
    <row r="9" spans="1:15" ht="60.75" customHeight="1">
      <c r="A9" s="992"/>
      <c r="B9" s="136" t="s">
        <v>422</v>
      </c>
      <c r="C9" s="136" t="s">
        <v>421</v>
      </c>
      <c r="D9" s="136" t="s">
        <v>420</v>
      </c>
      <c r="E9" s="136" t="s">
        <v>419</v>
      </c>
      <c r="F9" s="136" t="s">
        <v>418</v>
      </c>
      <c r="G9" s="136" t="s">
        <v>417</v>
      </c>
      <c r="H9" s="136" t="s">
        <v>416</v>
      </c>
      <c r="I9" s="136" t="s">
        <v>415</v>
      </c>
      <c r="J9" s="136" t="s">
        <v>414</v>
      </c>
      <c r="K9" s="136" t="s">
        <v>402</v>
      </c>
      <c r="L9" s="136" t="s">
        <v>176</v>
      </c>
      <c r="M9" s="136" t="s">
        <v>400</v>
      </c>
      <c r="N9" s="136" t="s">
        <v>413</v>
      </c>
      <c r="O9" s="998"/>
    </row>
    <row r="10" spans="1:15" ht="30.75" thickBot="1">
      <c r="A10" s="219" t="s">
        <v>412</v>
      </c>
      <c r="B10" s="788">
        <v>9</v>
      </c>
      <c r="C10" s="788">
        <v>22</v>
      </c>
      <c r="D10" s="788">
        <v>39</v>
      </c>
      <c r="E10" s="788">
        <v>60</v>
      </c>
      <c r="F10" s="788">
        <v>8</v>
      </c>
      <c r="G10" s="788">
        <v>0</v>
      </c>
      <c r="H10" s="788">
        <v>0</v>
      </c>
      <c r="I10" s="788">
        <v>0</v>
      </c>
      <c r="J10" s="788">
        <v>1</v>
      </c>
      <c r="K10" s="788">
        <v>0</v>
      </c>
      <c r="L10" s="788">
        <f>SUM(B10:K10)</f>
        <v>139</v>
      </c>
      <c r="M10" s="788">
        <v>220</v>
      </c>
      <c r="N10" s="788">
        <f>Table_Default__XLS_TAB_17_3[[#This Row],[TOTAL]]+Table_Default__XLS_TAB_17_3[[#This Row],[NO_OCCUP]]</f>
        <v>359</v>
      </c>
      <c r="O10" s="133" t="s">
        <v>422</v>
      </c>
    </row>
    <row r="11" spans="1:15" ht="22.5" customHeight="1" thickBot="1">
      <c r="A11" s="318" t="s">
        <v>411</v>
      </c>
      <c r="B11" s="267">
        <v>5</v>
      </c>
      <c r="C11" s="267">
        <v>94</v>
      </c>
      <c r="D11" s="267">
        <v>77</v>
      </c>
      <c r="E11" s="267">
        <v>26</v>
      </c>
      <c r="F11" s="267">
        <v>13</v>
      </c>
      <c r="G11" s="267">
        <v>0</v>
      </c>
      <c r="H11" s="267">
        <v>0</v>
      </c>
      <c r="I11" s="267">
        <v>0</v>
      </c>
      <c r="J11" s="267">
        <v>5</v>
      </c>
      <c r="K11" s="267">
        <v>0</v>
      </c>
      <c r="L11" s="266">
        <f t="shared" ref="L11:L19" si="0">SUM(B11:K11)</f>
        <v>220</v>
      </c>
      <c r="M11" s="267">
        <v>191</v>
      </c>
      <c r="N11" s="266">
        <f>Table_Default__XLS_TAB_17_3[[#This Row],[TOTAL]]+Table_Default__XLS_TAB_17_3[[#This Row],[NO_OCCUP]]</f>
        <v>411</v>
      </c>
      <c r="O11" s="315" t="s">
        <v>421</v>
      </c>
    </row>
    <row r="12" spans="1:15" ht="30.75" thickBot="1">
      <c r="A12" s="318" t="s">
        <v>410</v>
      </c>
      <c r="B12" s="267">
        <v>2</v>
      </c>
      <c r="C12" s="267">
        <v>92</v>
      </c>
      <c r="D12" s="267">
        <v>157</v>
      </c>
      <c r="E12" s="267">
        <v>111</v>
      </c>
      <c r="F12" s="267">
        <v>21</v>
      </c>
      <c r="G12" s="267">
        <v>0</v>
      </c>
      <c r="H12" s="267">
        <v>1</v>
      </c>
      <c r="I12" s="267">
        <v>0</v>
      </c>
      <c r="J12" s="267">
        <v>3</v>
      </c>
      <c r="K12" s="267">
        <v>0</v>
      </c>
      <c r="L12" s="266">
        <f t="shared" si="0"/>
        <v>387</v>
      </c>
      <c r="M12" s="267">
        <v>437</v>
      </c>
      <c r="N12" s="266">
        <f>Table_Default__XLS_TAB_17_3[[#This Row],[TOTAL]]+Table_Default__XLS_TAB_17_3[[#This Row],[NO_OCCUP]]</f>
        <v>824</v>
      </c>
      <c r="O12" s="315" t="s">
        <v>420</v>
      </c>
    </row>
    <row r="13" spans="1:15" ht="22.5" customHeight="1" thickBot="1">
      <c r="A13" s="318" t="s">
        <v>409</v>
      </c>
      <c r="B13" s="267">
        <v>5</v>
      </c>
      <c r="C13" s="267">
        <v>73</v>
      </c>
      <c r="D13" s="267">
        <v>116</v>
      </c>
      <c r="E13" s="267">
        <v>246</v>
      </c>
      <c r="F13" s="267">
        <v>29</v>
      </c>
      <c r="G13" s="267">
        <v>0</v>
      </c>
      <c r="H13" s="267">
        <v>2</v>
      </c>
      <c r="I13" s="267">
        <v>0</v>
      </c>
      <c r="J13" s="267">
        <v>7</v>
      </c>
      <c r="K13" s="267">
        <v>0</v>
      </c>
      <c r="L13" s="266">
        <f t="shared" si="0"/>
        <v>478</v>
      </c>
      <c r="M13" s="267">
        <v>707</v>
      </c>
      <c r="N13" s="266">
        <f>Table_Default__XLS_TAB_17_3[[#This Row],[TOTAL]]+Table_Default__XLS_TAB_17_3[[#This Row],[NO_OCCUP]]</f>
        <v>1185</v>
      </c>
      <c r="O13" s="315" t="s">
        <v>419</v>
      </c>
    </row>
    <row r="14" spans="1:15" ht="39" thickBot="1">
      <c r="A14" s="318" t="s">
        <v>408</v>
      </c>
      <c r="B14" s="267">
        <v>0</v>
      </c>
      <c r="C14" s="267">
        <v>24</v>
      </c>
      <c r="D14" s="267">
        <v>30</v>
      </c>
      <c r="E14" s="267">
        <v>76</v>
      </c>
      <c r="F14" s="267">
        <v>30</v>
      </c>
      <c r="G14" s="267">
        <v>0</v>
      </c>
      <c r="H14" s="267">
        <v>0</v>
      </c>
      <c r="I14" s="267">
        <v>0</v>
      </c>
      <c r="J14" s="267">
        <v>4</v>
      </c>
      <c r="K14" s="267">
        <v>0</v>
      </c>
      <c r="L14" s="266">
        <f t="shared" si="0"/>
        <v>164</v>
      </c>
      <c r="M14" s="267">
        <v>300</v>
      </c>
      <c r="N14" s="266">
        <f>Table_Default__XLS_TAB_17_3[[#This Row],[TOTAL]]+Table_Default__XLS_TAB_17_3[[#This Row],[NO_OCCUP]]</f>
        <v>464</v>
      </c>
      <c r="O14" s="315" t="s">
        <v>752</v>
      </c>
    </row>
    <row r="15" spans="1:15" ht="30.75" thickBot="1">
      <c r="A15" s="318" t="s">
        <v>407</v>
      </c>
      <c r="B15" s="267">
        <v>0</v>
      </c>
      <c r="C15" s="267">
        <v>0</v>
      </c>
      <c r="D15" s="267">
        <v>0</v>
      </c>
      <c r="E15" s="267">
        <v>0</v>
      </c>
      <c r="F15" s="267">
        <v>0</v>
      </c>
      <c r="G15" s="267">
        <v>0</v>
      </c>
      <c r="H15" s="267">
        <v>0</v>
      </c>
      <c r="I15" s="267">
        <v>0</v>
      </c>
      <c r="J15" s="267">
        <v>0</v>
      </c>
      <c r="K15" s="267">
        <v>0</v>
      </c>
      <c r="L15" s="266">
        <f t="shared" si="0"/>
        <v>0</v>
      </c>
      <c r="M15" s="267">
        <v>0</v>
      </c>
      <c r="N15" s="266">
        <f>Table_Default__XLS_TAB_17_3[[#This Row],[TOTAL]]+Table_Default__XLS_TAB_17_3[[#This Row],[NO_OCCUP]]</f>
        <v>0</v>
      </c>
      <c r="O15" s="315" t="s">
        <v>417</v>
      </c>
    </row>
    <row r="16" spans="1:15" ht="30.75" thickBot="1">
      <c r="A16" s="318" t="s">
        <v>406</v>
      </c>
      <c r="B16" s="267">
        <v>0</v>
      </c>
      <c r="C16" s="267">
        <v>1</v>
      </c>
      <c r="D16" s="267">
        <v>3</v>
      </c>
      <c r="E16" s="267">
        <v>5</v>
      </c>
      <c r="F16" s="267">
        <v>1</v>
      </c>
      <c r="G16" s="267">
        <v>0</v>
      </c>
      <c r="H16" s="267">
        <v>0</v>
      </c>
      <c r="I16" s="267">
        <v>0</v>
      </c>
      <c r="J16" s="267">
        <v>2</v>
      </c>
      <c r="K16" s="267">
        <v>0</v>
      </c>
      <c r="L16" s="266">
        <f t="shared" si="0"/>
        <v>12</v>
      </c>
      <c r="M16" s="267">
        <v>11</v>
      </c>
      <c r="N16" s="266">
        <f>Table_Default__XLS_TAB_17_3[[#This Row],[TOTAL]]+Table_Default__XLS_TAB_17_3[[#This Row],[NO_OCCUP]]</f>
        <v>23</v>
      </c>
      <c r="O16" s="315" t="s">
        <v>416</v>
      </c>
    </row>
    <row r="17" spans="1:15" ht="39" thickBot="1">
      <c r="A17" s="318" t="s">
        <v>405</v>
      </c>
      <c r="B17" s="267">
        <v>0</v>
      </c>
      <c r="C17" s="267">
        <v>3</v>
      </c>
      <c r="D17" s="267">
        <v>1</v>
      </c>
      <c r="E17" s="267">
        <v>5</v>
      </c>
      <c r="F17" s="267">
        <v>7</v>
      </c>
      <c r="G17" s="267">
        <v>0</v>
      </c>
      <c r="H17" s="267">
        <v>0</v>
      </c>
      <c r="I17" s="267">
        <v>0</v>
      </c>
      <c r="J17" s="267">
        <v>4</v>
      </c>
      <c r="K17" s="267">
        <v>0</v>
      </c>
      <c r="L17" s="266">
        <f t="shared" si="0"/>
        <v>20</v>
      </c>
      <c r="M17" s="267">
        <v>22</v>
      </c>
      <c r="N17" s="266">
        <f>Table_Default__XLS_TAB_17_3[[#This Row],[TOTAL]]+Table_Default__XLS_TAB_17_3[[#This Row],[NO_OCCUP]]</f>
        <v>42</v>
      </c>
      <c r="O17" s="315" t="s">
        <v>415</v>
      </c>
    </row>
    <row r="18" spans="1:15" ht="15.75" thickBot="1">
      <c r="A18" s="318" t="s">
        <v>404</v>
      </c>
      <c r="B18" s="267">
        <v>0</v>
      </c>
      <c r="C18" s="267">
        <v>5</v>
      </c>
      <c r="D18" s="267">
        <v>4</v>
      </c>
      <c r="E18" s="267">
        <v>26</v>
      </c>
      <c r="F18" s="267">
        <v>4</v>
      </c>
      <c r="G18" s="267">
        <v>0</v>
      </c>
      <c r="H18" s="267">
        <v>0</v>
      </c>
      <c r="I18" s="267">
        <v>0</v>
      </c>
      <c r="J18" s="267">
        <v>3</v>
      </c>
      <c r="K18" s="267">
        <v>0</v>
      </c>
      <c r="L18" s="266">
        <f t="shared" si="0"/>
        <v>42</v>
      </c>
      <c r="M18" s="267">
        <v>46</v>
      </c>
      <c r="N18" s="266">
        <f>Table_Default__XLS_TAB_17_3[[#This Row],[TOTAL]]+Table_Default__XLS_TAB_17_3[[#This Row],[NO_OCCUP]]</f>
        <v>88</v>
      </c>
      <c r="O18" s="315" t="s">
        <v>414</v>
      </c>
    </row>
    <row r="19" spans="1:15" ht="30">
      <c r="A19" s="319" t="s">
        <v>403</v>
      </c>
      <c r="B19" s="789">
        <v>0</v>
      </c>
      <c r="C19" s="789">
        <v>0</v>
      </c>
      <c r="D19" s="789">
        <v>0</v>
      </c>
      <c r="E19" s="789">
        <v>0</v>
      </c>
      <c r="F19" s="789">
        <v>0</v>
      </c>
      <c r="G19" s="789">
        <v>0</v>
      </c>
      <c r="H19" s="789">
        <v>0</v>
      </c>
      <c r="I19" s="789">
        <v>0</v>
      </c>
      <c r="J19" s="789">
        <v>0</v>
      </c>
      <c r="K19" s="789">
        <v>0</v>
      </c>
      <c r="L19" s="790">
        <f t="shared" si="0"/>
        <v>0</v>
      </c>
      <c r="M19" s="789">
        <v>0</v>
      </c>
      <c r="N19" s="790">
        <f>Table_Default__XLS_TAB_17_3[[#This Row],[TOTAL]]+Table_Default__XLS_TAB_17_3[[#This Row],[NO_OCCUP]]</f>
        <v>0</v>
      </c>
      <c r="O19" s="316" t="s">
        <v>402</v>
      </c>
    </row>
    <row r="20" spans="1:15" ht="22.5" customHeight="1">
      <c r="A20" s="524" t="s">
        <v>21</v>
      </c>
      <c r="B20" s="787">
        <f>SUM(B10:B19)</f>
        <v>21</v>
      </c>
      <c r="C20" s="787">
        <f t="shared" ref="C20:N20" si="1">SUM(C10:C19)</f>
        <v>314</v>
      </c>
      <c r="D20" s="787">
        <f t="shared" si="1"/>
        <v>427</v>
      </c>
      <c r="E20" s="787">
        <f t="shared" si="1"/>
        <v>555</v>
      </c>
      <c r="F20" s="787">
        <f t="shared" si="1"/>
        <v>113</v>
      </c>
      <c r="G20" s="787">
        <f t="shared" si="1"/>
        <v>0</v>
      </c>
      <c r="H20" s="787">
        <f t="shared" si="1"/>
        <v>3</v>
      </c>
      <c r="I20" s="787">
        <f t="shared" si="1"/>
        <v>0</v>
      </c>
      <c r="J20" s="787">
        <f t="shared" si="1"/>
        <v>29</v>
      </c>
      <c r="K20" s="787">
        <f t="shared" si="1"/>
        <v>0</v>
      </c>
      <c r="L20" s="787">
        <f t="shared" si="1"/>
        <v>1462</v>
      </c>
      <c r="M20" s="787">
        <f t="shared" si="1"/>
        <v>1934</v>
      </c>
      <c r="N20" s="787">
        <f t="shared" si="1"/>
        <v>3396</v>
      </c>
      <c r="O20" s="525" t="s">
        <v>176</v>
      </c>
    </row>
    <row r="21" spans="1:15" ht="22.5" customHeight="1">
      <c r="A21" s="320" t="s">
        <v>401</v>
      </c>
      <c r="B21" s="314">
        <v>2</v>
      </c>
      <c r="C21" s="314">
        <v>27</v>
      </c>
      <c r="D21" s="314">
        <v>34</v>
      </c>
      <c r="E21" s="314">
        <v>36</v>
      </c>
      <c r="F21" s="314">
        <v>6</v>
      </c>
      <c r="G21" s="314">
        <v>0</v>
      </c>
      <c r="H21" s="314">
        <v>0</v>
      </c>
      <c r="I21" s="314">
        <v>0</v>
      </c>
      <c r="J21" s="314">
        <v>0</v>
      </c>
      <c r="K21" s="314">
        <v>0</v>
      </c>
      <c r="L21" s="314">
        <v>105</v>
      </c>
      <c r="M21" s="314">
        <v>223</v>
      </c>
      <c r="N21" s="314">
        <v>328</v>
      </c>
      <c r="O21" s="317" t="s">
        <v>400</v>
      </c>
    </row>
    <row r="22" spans="1:15" ht="22.5" customHeight="1">
      <c r="A22" s="794" t="s">
        <v>399</v>
      </c>
      <c r="B22" s="795">
        <f>B20+B21</f>
        <v>23</v>
      </c>
      <c r="C22" s="795">
        <f t="shared" ref="C22:N22" si="2">C20+C21</f>
        <v>341</v>
      </c>
      <c r="D22" s="795">
        <f t="shared" si="2"/>
        <v>461</v>
      </c>
      <c r="E22" s="795">
        <f t="shared" si="2"/>
        <v>591</v>
      </c>
      <c r="F22" s="795">
        <f t="shared" si="2"/>
        <v>119</v>
      </c>
      <c r="G22" s="795">
        <f t="shared" si="2"/>
        <v>0</v>
      </c>
      <c r="H22" s="795">
        <f t="shared" si="2"/>
        <v>3</v>
      </c>
      <c r="I22" s="795">
        <f t="shared" si="2"/>
        <v>0</v>
      </c>
      <c r="J22" s="795">
        <f t="shared" si="2"/>
        <v>29</v>
      </c>
      <c r="K22" s="795">
        <f t="shared" si="2"/>
        <v>0</v>
      </c>
      <c r="L22" s="795">
        <f t="shared" si="2"/>
        <v>1567</v>
      </c>
      <c r="M22" s="795">
        <f t="shared" si="2"/>
        <v>2157</v>
      </c>
      <c r="N22" s="795">
        <f t="shared" si="2"/>
        <v>3724</v>
      </c>
      <c r="O22" s="796" t="s">
        <v>398</v>
      </c>
    </row>
    <row r="23" spans="1:15">
      <c r="A23" s="135" t="s">
        <v>397</v>
      </c>
      <c r="O23" s="134" t="s">
        <v>396</v>
      </c>
    </row>
    <row r="25" spans="1:15">
      <c r="A25" s="1" t="s">
        <v>433</v>
      </c>
      <c r="B25" s="1" t="s">
        <v>392</v>
      </c>
      <c r="C25" s="1" t="s">
        <v>391</v>
      </c>
    </row>
    <row r="26" spans="1:15">
      <c r="A26" s="1" t="s">
        <v>444</v>
      </c>
      <c r="B26" s="182">
        <f>L10</f>
        <v>139</v>
      </c>
      <c r="C26" s="1">
        <f>B20</f>
        <v>21</v>
      </c>
    </row>
    <row r="27" spans="1:15">
      <c r="A27" s="1" t="s">
        <v>443</v>
      </c>
      <c r="B27" s="1">
        <f>L11</f>
        <v>220</v>
      </c>
      <c r="C27" s="1">
        <f>C20</f>
        <v>314</v>
      </c>
    </row>
    <row r="28" spans="1:15">
      <c r="A28" s="1" t="s">
        <v>442</v>
      </c>
      <c r="B28" s="1">
        <f>L12</f>
        <v>387</v>
      </c>
      <c r="C28" s="1">
        <f>D20</f>
        <v>427</v>
      </c>
    </row>
    <row r="29" spans="1:15">
      <c r="A29" s="1" t="s">
        <v>441</v>
      </c>
      <c r="B29" s="1">
        <f>L13</f>
        <v>478</v>
      </c>
      <c r="C29" s="1">
        <f>E20</f>
        <v>555</v>
      </c>
    </row>
    <row r="30" spans="1:15">
      <c r="A30" s="1" t="s">
        <v>440</v>
      </c>
      <c r="B30" s="1">
        <f t="shared" ref="B30" si="3">L14</f>
        <v>164</v>
      </c>
      <c r="C30" s="1">
        <f>F20</f>
        <v>113</v>
      </c>
    </row>
    <row r="31" spans="1:15">
      <c r="A31" s="1" t="s">
        <v>439</v>
      </c>
      <c r="B31" s="182">
        <f>L15</f>
        <v>0</v>
      </c>
      <c r="C31" s="182">
        <f>G20</f>
        <v>0</v>
      </c>
    </row>
    <row r="32" spans="1:15">
      <c r="A32" s="1" t="s">
        <v>438</v>
      </c>
      <c r="B32" s="182">
        <f>L16</f>
        <v>12</v>
      </c>
      <c r="C32" s="1">
        <f>H20</f>
        <v>3</v>
      </c>
    </row>
    <row r="33" spans="1:3">
      <c r="A33" s="1" t="s">
        <v>437</v>
      </c>
      <c r="B33" s="1">
        <f>L17</f>
        <v>20</v>
      </c>
      <c r="C33" s="182">
        <f>I20</f>
        <v>0</v>
      </c>
    </row>
    <row r="34" spans="1:3">
      <c r="A34" s="1" t="s">
        <v>436</v>
      </c>
      <c r="B34" s="1">
        <f>L18</f>
        <v>42</v>
      </c>
      <c r="C34" s="1">
        <f>J20</f>
        <v>29</v>
      </c>
    </row>
    <row r="35" spans="1:3">
      <c r="A35" s="1" t="s">
        <v>435</v>
      </c>
      <c r="B35" s="1">
        <f>L19</f>
        <v>0</v>
      </c>
      <c r="C35" s="1">
        <f>K20</f>
        <v>0</v>
      </c>
    </row>
    <row r="36" spans="1:3">
      <c r="A36" s="1" t="s">
        <v>434</v>
      </c>
      <c r="B36" s="182">
        <f>L21</f>
        <v>105</v>
      </c>
      <c r="C36" s="1">
        <f>M20</f>
        <v>1934</v>
      </c>
    </row>
    <row r="37" spans="1:3">
      <c r="B37" s="1">
        <f>SUM(B26:B36)</f>
        <v>1567</v>
      </c>
      <c r="C37" s="1">
        <f>SUM(C26:C36)</f>
        <v>3396</v>
      </c>
    </row>
    <row r="41" spans="1:3">
      <c r="A41" s="1" t="s">
        <v>433</v>
      </c>
      <c r="B41" s="1" t="s">
        <v>392</v>
      </c>
      <c r="C41" s="1" t="s">
        <v>391</v>
      </c>
    </row>
    <row r="42" spans="1:3">
      <c r="A42" s="1" t="s">
        <v>441</v>
      </c>
      <c r="B42" s="1">
        <f>B29</f>
        <v>478</v>
      </c>
      <c r="C42" s="1">
        <f>C29</f>
        <v>555</v>
      </c>
    </row>
    <row r="43" spans="1:3">
      <c r="A43" s="1" t="s">
        <v>442</v>
      </c>
      <c r="B43" s="1">
        <f>B28</f>
        <v>387</v>
      </c>
      <c r="C43" s="1">
        <f>C28</f>
        <v>427</v>
      </c>
    </row>
    <row r="44" spans="1:3">
      <c r="A44" s="1" t="s">
        <v>443</v>
      </c>
      <c r="B44" s="1">
        <f>B27</f>
        <v>220</v>
      </c>
      <c r="C44" s="1">
        <f>C27</f>
        <v>314</v>
      </c>
    </row>
    <row r="45" spans="1:3">
      <c r="A45" s="1" t="s">
        <v>444</v>
      </c>
      <c r="B45" s="1">
        <f>B26</f>
        <v>139</v>
      </c>
      <c r="C45" s="1">
        <f>C26</f>
        <v>21</v>
      </c>
    </row>
    <row r="46" spans="1:3">
      <c r="A46" s="1" t="s">
        <v>440</v>
      </c>
      <c r="B46" s="1">
        <f>B30</f>
        <v>164</v>
      </c>
      <c r="C46" s="1">
        <f>C30</f>
        <v>113</v>
      </c>
    </row>
    <row r="47" spans="1:3">
      <c r="A47" s="1" t="s">
        <v>434</v>
      </c>
      <c r="B47" s="1">
        <f>B36</f>
        <v>105</v>
      </c>
      <c r="C47" s="1">
        <f>C36</f>
        <v>1934</v>
      </c>
    </row>
    <row r="48" spans="1:3">
      <c r="A48" s="1" t="s">
        <v>436</v>
      </c>
      <c r="B48" s="1">
        <f>B34</f>
        <v>42</v>
      </c>
      <c r="C48" s="1">
        <f>C34</f>
        <v>29</v>
      </c>
    </row>
    <row r="49" spans="1:3">
      <c r="A49" s="1" t="s">
        <v>437</v>
      </c>
      <c r="B49" s="1">
        <f>B33</f>
        <v>20</v>
      </c>
      <c r="C49" s="1">
        <f>C33</f>
        <v>0</v>
      </c>
    </row>
    <row r="50" spans="1:3">
      <c r="A50" s="1" t="s">
        <v>438</v>
      </c>
      <c r="B50" s="1">
        <f>B32</f>
        <v>12</v>
      </c>
      <c r="C50" s="1">
        <f>C32</f>
        <v>3</v>
      </c>
    </row>
    <row r="51" spans="1:3">
      <c r="A51" s="1" t="s">
        <v>439</v>
      </c>
      <c r="B51" s="1">
        <f>B31</f>
        <v>0</v>
      </c>
      <c r="C51" s="1">
        <f>C31</f>
        <v>0</v>
      </c>
    </row>
    <row r="52" spans="1:3">
      <c r="A52" s="1" t="s">
        <v>435</v>
      </c>
      <c r="B52" s="1">
        <f>B35</f>
        <v>0</v>
      </c>
      <c r="C52" s="1">
        <f>C35</f>
        <v>0</v>
      </c>
    </row>
    <row r="55" spans="1:3">
      <c r="B55" s="1">
        <f>SUM(B42:B54)</f>
        <v>1567</v>
      </c>
      <c r="C55" s="1">
        <f>SUM(C42:C54)</f>
        <v>3396</v>
      </c>
    </row>
  </sheetData>
  <sortState ref="A44:C54">
    <sortCondition descending="1" ref="B44"/>
  </sortState>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80" orientation="landscape" r:id="rId1"/>
  <headerFooter alignWithMargins="0"/>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rightToLeft="1" view="pageBreakPreview" zoomScaleNormal="100" zoomScaleSheetLayoutView="100" workbookViewId="0">
      <selection activeCell="Q10" sqref="Q10"/>
    </sheetView>
  </sheetViews>
  <sheetFormatPr defaultColWidth="9.140625" defaultRowHeight="12.75"/>
  <cols>
    <col min="1" max="16384" width="9.140625" style="1"/>
  </cols>
  <sheetData>
    <row r="1" ht="36.75" customHeight="1"/>
    <row r="38" spans="1:13" ht="15.75">
      <c r="A38" s="945" t="s">
        <v>447</v>
      </c>
      <c r="B38" s="945"/>
      <c r="C38" s="945"/>
      <c r="D38" s="945"/>
      <c r="E38" s="945"/>
      <c r="F38" s="945"/>
      <c r="G38" s="945"/>
      <c r="H38" s="945"/>
      <c r="I38" s="945"/>
      <c r="J38" s="945"/>
      <c r="K38" s="945"/>
      <c r="L38" s="945"/>
      <c r="M38" s="945"/>
    </row>
  </sheetData>
  <mergeCells count="1">
    <mergeCell ref="A38:M38"/>
  </mergeCells>
  <printOptions horizontalCentered="1" verticalCentered="1"/>
  <pageMargins left="0" right="0" top="0" bottom="0" header="0" footer="0"/>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topLeftCell="A19" zoomScaleNormal="100" zoomScaleSheetLayoutView="100" workbookViewId="0">
      <selection activeCell="N20" sqref="N20"/>
    </sheetView>
  </sheetViews>
  <sheetFormatPr defaultColWidth="9.140625" defaultRowHeight="12.75"/>
  <cols>
    <col min="1" max="16384" width="9.140625" style="1"/>
  </cols>
  <sheetData/>
  <printOptions horizontalCentered="1" verticalCentered="1"/>
  <pageMargins left="0" right="0" top="0.19685039370078741" bottom="0" header="0" footer="0"/>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rightToLeft="1" view="pageBreakPreview" zoomScaleNormal="100" zoomScaleSheetLayoutView="100" workbookViewId="0">
      <selection activeCell="H12" sqref="H12"/>
    </sheetView>
  </sheetViews>
  <sheetFormatPr defaultColWidth="9.140625" defaultRowHeight="12.75"/>
  <cols>
    <col min="1" max="1" width="19.5703125" style="1" customWidth="1"/>
    <col min="2" max="11" width="8.42578125" style="1" customWidth="1"/>
    <col min="12" max="12" width="10.42578125" style="1" customWidth="1"/>
    <col min="13" max="13" width="8.28515625" style="1" customWidth="1"/>
    <col min="14" max="14" width="20.42578125" style="1" customWidth="1"/>
    <col min="15" max="16384" width="9.140625" style="1"/>
  </cols>
  <sheetData>
    <row r="1" spans="1:18" s="2" customFormat="1" ht="21.75" customHeight="1">
      <c r="A1" s="934" t="s">
        <v>452</v>
      </c>
      <c r="B1" s="934"/>
      <c r="C1" s="934"/>
      <c r="D1" s="934"/>
      <c r="E1" s="934"/>
      <c r="F1" s="934"/>
      <c r="G1" s="934"/>
      <c r="H1" s="934"/>
      <c r="I1" s="934"/>
      <c r="J1" s="934"/>
      <c r="K1" s="934"/>
      <c r="L1" s="934"/>
      <c r="M1" s="934"/>
      <c r="N1" s="934"/>
    </row>
    <row r="2" spans="1:18" s="2" customFormat="1" ht="32.25" customHeight="1">
      <c r="A2" s="958" t="s">
        <v>451</v>
      </c>
      <c r="B2" s="958"/>
      <c r="C2" s="958"/>
      <c r="D2" s="958"/>
      <c r="E2" s="958"/>
      <c r="F2" s="958"/>
      <c r="G2" s="958"/>
      <c r="H2" s="958"/>
      <c r="I2" s="958"/>
      <c r="J2" s="958"/>
      <c r="K2" s="958"/>
      <c r="L2" s="958"/>
      <c r="M2" s="958"/>
      <c r="N2" s="958"/>
    </row>
    <row r="3" spans="1:18" s="2" customFormat="1" ht="18" customHeight="1">
      <c r="A3" s="959">
        <v>2015</v>
      </c>
      <c r="B3" s="959"/>
      <c r="C3" s="959"/>
      <c r="D3" s="959"/>
      <c r="E3" s="959"/>
      <c r="F3" s="959"/>
      <c r="G3" s="959"/>
      <c r="H3" s="959"/>
      <c r="I3" s="959"/>
      <c r="J3" s="959"/>
      <c r="K3" s="959"/>
      <c r="L3" s="959"/>
      <c r="M3" s="959"/>
      <c r="N3" s="959"/>
      <c r="O3" s="125"/>
      <c r="P3" s="125"/>
      <c r="Q3" s="125"/>
      <c r="R3" s="125"/>
    </row>
    <row r="4" spans="1:18" s="2" customFormat="1" ht="15.75">
      <c r="A4" s="959" t="s">
        <v>450</v>
      </c>
      <c r="B4" s="959"/>
      <c r="C4" s="959"/>
      <c r="D4" s="959"/>
      <c r="E4" s="959"/>
      <c r="F4" s="959"/>
      <c r="G4" s="959"/>
      <c r="H4" s="959"/>
      <c r="I4" s="959"/>
      <c r="J4" s="959"/>
      <c r="K4" s="959"/>
      <c r="L4" s="959"/>
      <c r="M4" s="959"/>
      <c r="N4" s="959"/>
    </row>
    <row r="5" spans="1:18" s="2" customFormat="1" ht="15.75">
      <c r="A5" s="635"/>
      <c r="B5" s="635"/>
      <c r="C5" s="635"/>
      <c r="D5" s="635"/>
      <c r="E5" s="635"/>
      <c r="F5" s="635"/>
      <c r="G5" s="635"/>
      <c r="H5" s="635"/>
      <c r="I5" s="635"/>
      <c r="J5" s="635"/>
      <c r="K5" s="635"/>
      <c r="L5" s="635"/>
      <c r="M5" s="635"/>
      <c r="N5" s="635"/>
    </row>
    <row r="6" spans="1:18" ht="15.75">
      <c r="A6" s="648" t="s">
        <v>618</v>
      </c>
      <c r="B6" s="652"/>
      <c r="C6" s="652"/>
      <c r="D6" s="652"/>
      <c r="E6" s="652"/>
      <c r="F6" s="652"/>
      <c r="G6" s="652"/>
      <c r="H6" s="652"/>
      <c r="I6" s="652"/>
      <c r="J6" s="652"/>
      <c r="K6" s="652"/>
      <c r="L6" s="652"/>
      <c r="M6" s="652"/>
      <c r="N6" s="650" t="s">
        <v>619</v>
      </c>
    </row>
    <row r="7" spans="1:18" ht="26.25" customHeight="1" thickBot="1">
      <c r="A7" s="985" t="s">
        <v>289</v>
      </c>
      <c r="B7" s="969" t="s">
        <v>278</v>
      </c>
      <c r="C7" s="969"/>
      <c r="D7" s="969"/>
      <c r="E7" s="969"/>
      <c r="F7" s="969"/>
      <c r="G7" s="969"/>
      <c r="H7" s="969"/>
      <c r="I7" s="969"/>
      <c r="J7" s="969"/>
      <c r="K7" s="969"/>
      <c r="L7" s="969"/>
      <c r="M7" s="969"/>
      <c r="N7" s="987" t="s">
        <v>288</v>
      </c>
    </row>
    <row r="8" spans="1:18" ht="35.25" customHeight="1">
      <c r="A8" s="992"/>
      <c r="B8" s="577">
        <v>-20</v>
      </c>
      <c r="C8" s="577" t="s">
        <v>269</v>
      </c>
      <c r="D8" s="577" t="s">
        <v>268</v>
      </c>
      <c r="E8" s="577" t="s">
        <v>267</v>
      </c>
      <c r="F8" s="577" t="s">
        <v>266</v>
      </c>
      <c r="G8" s="577" t="s">
        <v>265</v>
      </c>
      <c r="H8" s="577" t="s">
        <v>264</v>
      </c>
      <c r="I8" s="577" t="s">
        <v>263</v>
      </c>
      <c r="J8" s="577" t="s">
        <v>262</v>
      </c>
      <c r="K8" s="577" t="s">
        <v>275</v>
      </c>
      <c r="L8" s="577" t="s">
        <v>293</v>
      </c>
      <c r="M8" s="577" t="s">
        <v>256</v>
      </c>
      <c r="N8" s="993"/>
    </row>
    <row r="9" spans="1:18" ht="19.5" customHeight="1" thickBot="1">
      <c r="A9" s="223" t="s">
        <v>751</v>
      </c>
      <c r="B9" s="266">
        <v>18</v>
      </c>
      <c r="C9" s="266">
        <v>7</v>
      </c>
      <c r="D9" s="266">
        <v>0</v>
      </c>
      <c r="E9" s="266">
        <v>0</v>
      </c>
      <c r="F9" s="266">
        <v>0</v>
      </c>
      <c r="G9" s="266">
        <v>0</v>
      </c>
      <c r="H9" s="266">
        <v>0</v>
      </c>
      <c r="I9" s="266">
        <v>0</v>
      </c>
      <c r="J9" s="266">
        <v>0</v>
      </c>
      <c r="K9" s="266">
        <v>0</v>
      </c>
      <c r="L9" s="266">
        <v>0</v>
      </c>
      <c r="M9" s="526">
        <f>SUM(B9:L9)</f>
        <v>25</v>
      </c>
      <c r="N9" s="183" t="s">
        <v>751</v>
      </c>
    </row>
    <row r="10" spans="1:18" ht="19.5" customHeight="1" thickBot="1">
      <c r="A10" s="321" t="s">
        <v>269</v>
      </c>
      <c r="B10" s="267">
        <v>79</v>
      </c>
      <c r="C10" s="267">
        <v>139</v>
      </c>
      <c r="D10" s="267">
        <v>15</v>
      </c>
      <c r="E10" s="267">
        <v>3</v>
      </c>
      <c r="F10" s="267">
        <v>0</v>
      </c>
      <c r="G10" s="267">
        <v>0</v>
      </c>
      <c r="H10" s="267">
        <v>0</v>
      </c>
      <c r="I10" s="267">
        <v>0</v>
      </c>
      <c r="J10" s="267">
        <v>0</v>
      </c>
      <c r="K10" s="267">
        <v>0</v>
      </c>
      <c r="L10" s="267">
        <v>0</v>
      </c>
      <c r="M10" s="526">
        <f t="shared" ref="M10:M22" si="0">SUM(B10:L10)</f>
        <v>236</v>
      </c>
      <c r="N10" s="322" t="s">
        <v>269</v>
      </c>
    </row>
    <row r="11" spans="1:18" ht="19.5" customHeight="1" thickBot="1">
      <c r="A11" s="321" t="s">
        <v>268</v>
      </c>
      <c r="B11" s="267">
        <v>38</v>
      </c>
      <c r="C11" s="267">
        <v>77</v>
      </c>
      <c r="D11" s="267">
        <v>37</v>
      </c>
      <c r="E11" s="267">
        <v>4</v>
      </c>
      <c r="F11" s="267">
        <v>0</v>
      </c>
      <c r="G11" s="267">
        <v>0</v>
      </c>
      <c r="H11" s="267">
        <v>0</v>
      </c>
      <c r="I11" s="267">
        <v>0</v>
      </c>
      <c r="J11" s="267">
        <v>0</v>
      </c>
      <c r="K11" s="267">
        <v>0</v>
      </c>
      <c r="L11" s="267">
        <v>0</v>
      </c>
      <c r="M11" s="526">
        <f t="shared" si="0"/>
        <v>156</v>
      </c>
      <c r="N11" s="322" t="s">
        <v>268</v>
      </c>
    </row>
    <row r="12" spans="1:18" ht="19.5" customHeight="1" thickBot="1">
      <c r="A12" s="321" t="s">
        <v>267</v>
      </c>
      <c r="B12" s="267">
        <v>2</v>
      </c>
      <c r="C12" s="267">
        <v>10</v>
      </c>
      <c r="D12" s="267">
        <v>12</v>
      </c>
      <c r="E12" s="267">
        <v>5</v>
      </c>
      <c r="F12" s="267">
        <v>0</v>
      </c>
      <c r="G12" s="267">
        <v>1</v>
      </c>
      <c r="H12" s="267">
        <v>0</v>
      </c>
      <c r="I12" s="267">
        <v>0</v>
      </c>
      <c r="J12" s="267">
        <v>0</v>
      </c>
      <c r="K12" s="267">
        <v>0</v>
      </c>
      <c r="L12" s="267">
        <v>0</v>
      </c>
      <c r="M12" s="526">
        <f t="shared" si="0"/>
        <v>30</v>
      </c>
      <c r="N12" s="322" t="s">
        <v>267</v>
      </c>
    </row>
    <row r="13" spans="1:18" ht="19.5" customHeight="1" thickBot="1">
      <c r="A13" s="321" t="s">
        <v>266</v>
      </c>
      <c r="B13" s="267">
        <v>0</v>
      </c>
      <c r="C13" s="267">
        <v>3</v>
      </c>
      <c r="D13" s="267">
        <v>0</v>
      </c>
      <c r="E13" s="267">
        <v>5</v>
      </c>
      <c r="F13" s="267">
        <v>4</v>
      </c>
      <c r="G13" s="267">
        <v>0</v>
      </c>
      <c r="H13" s="267">
        <v>0</v>
      </c>
      <c r="I13" s="267">
        <v>0</v>
      </c>
      <c r="J13" s="267">
        <v>0</v>
      </c>
      <c r="K13" s="267">
        <v>0</v>
      </c>
      <c r="L13" s="267">
        <v>0</v>
      </c>
      <c r="M13" s="526">
        <f t="shared" si="0"/>
        <v>12</v>
      </c>
      <c r="N13" s="322" t="s">
        <v>266</v>
      </c>
    </row>
    <row r="14" spans="1:18" ht="19.5" customHeight="1" thickBot="1">
      <c r="A14" s="321" t="s">
        <v>265</v>
      </c>
      <c r="B14" s="267">
        <v>0</v>
      </c>
      <c r="C14" s="267">
        <v>0</v>
      </c>
      <c r="D14" s="267">
        <v>0</v>
      </c>
      <c r="E14" s="267">
        <v>2</v>
      </c>
      <c r="F14" s="267">
        <v>0</v>
      </c>
      <c r="G14" s="267">
        <v>1</v>
      </c>
      <c r="H14" s="267">
        <v>0</v>
      </c>
      <c r="I14" s="267">
        <v>0</v>
      </c>
      <c r="J14" s="267">
        <v>0</v>
      </c>
      <c r="K14" s="267">
        <v>0</v>
      </c>
      <c r="L14" s="267">
        <v>0</v>
      </c>
      <c r="M14" s="526">
        <f t="shared" si="0"/>
        <v>3</v>
      </c>
      <c r="N14" s="322" t="s">
        <v>265</v>
      </c>
    </row>
    <row r="15" spans="1:18" ht="19.5" customHeight="1" thickBot="1">
      <c r="A15" s="321" t="s">
        <v>264</v>
      </c>
      <c r="B15" s="267">
        <v>0</v>
      </c>
      <c r="C15" s="267">
        <v>0</v>
      </c>
      <c r="D15" s="267">
        <v>0</v>
      </c>
      <c r="E15" s="267">
        <v>1</v>
      </c>
      <c r="F15" s="267">
        <v>0</v>
      </c>
      <c r="G15" s="267">
        <v>0</v>
      </c>
      <c r="H15" s="267">
        <v>1</v>
      </c>
      <c r="I15" s="267">
        <v>0</v>
      </c>
      <c r="J15" s="267">
        <v>0</v>
      </c>
      <c r="K15" s="267">
        <v>0</v>
      </c>
      <c r="L15" s="267">
        <v>0</v>
      </c>
      <c r="M15" s="526">
        <f t="shared" si="0"/>
        <v>2</v>
      </c>
      <c r="N15" s="322" t="s">
        <v>264</v>
      </c>
    </row>
    <row r="16" spans="1:18" ht="19.5" customHeight="1" thickBot="1">
      <c r="A16" s="321" t="s">
        <v>263</v>
      </c>
      <c r="B16" s="267">
        <v>0</v>
      </c>
      <c r="C16" s="267">
        <v>0</v>
      </c>
      <c r="D16" s="267">
        <v>0</v>
      </c>
      <c r="E16" s="267">
        <v>0</v>
      </c>
      <c r="F16" s="267">
        <v>0</v>
      </c>
      <c r="G16" s="267">
        <v>0</v>
      </c>
      <c r="H16" s="267">
        <v>0</v>
      </c>
      <c r="I16" s="267">
        <v>0</v>
      </c>
      <c r="J16" s="267">
        <v>0</v>
      </c>
      <c r="K16" s="267">
        <v>0</v>
      </c>
      <c r="L16" s="267">
        <v>0</v>
      </c>
      <c r="M16" s="526">
        <f t="shared" si="0"/>
        <v>0</v>
      </c>
      <c r="N16" s="322" t="s">
        <v>263</v>
      </c>
    </row>
    <row r="17" spans="1:14" ht="19.5" customHeight="1" thickBot="1">
      <c r="A17" s="321" t="s">
        <v>262</v>
      </c>
      <c r="B17" s="267">
        <v>0</v>
      </c>
      <c r="C17" s="267">
        <v>0</v>
      </c>
      <c r="D17" s="267">
        <v>0</v>
      </c>
      <c r="E17" s="267">
        <v>0</v>
      </c>
      <c r="F17" s="267">
        <v>0</v>
      </c>
      <c r="G17" s="267">
        <v>0</v>
      </c>
      <c r="H17" s="267">
        <v>0</v>
      </c>
      <c r="I17" s="267">
        <v>0</v>
      </c>
      <c r="J17" s="267">
        <v>0</v>
      </c>
      <c r="K17" s="267">
        <v>0</v>
      </c>
      <c r="L17" s="267">
        <v>0</v>
      </c>
      <c r="M17" s="526">
        <f t="shared" si="0"/>
        <v>0</v>
      </c>
      <c r="N17" s="322" t="s">
        <v>262</v>
      </c>
    </row>
    <row r="18" spans="1:14" ht="19.5" customHeight="1" thickBot="1">
      <c r="A18" s="321" t="s">
        <v>261</v>
      </c>
      <c r="B18" s="267">
        <v>0</v>
      </c>
      <c r="C18" s="267">
        <v>0</v>
      </c>
      <c r="D18" s="267">
        <v>0</v>
      </c>
      <c r="E18" s="267">
        <v>0</v>
      </c>
      <c r="F18" s="267">
        <v>0</v>
      </c>
      <c r="G18" s="267">
        <v>0</v>
      </c>
      <c r="H18" s="267">
        <v>0</v>
      </c>
      <c r="I18" s="267">
        <v>0</v>
      </c>
      <c r="J18" s="267">
        <v>0</v>
      </c>
      <c r="K18" s="267">
        <v>0</v>
      </c>
      <c r="L18" s="267">
        <v>0</v>
      </c>
      <c r="M18" s="526">
        <f t="shared" si="0"/>
        <v>0</v>
      </c>
      <c r="N18" s="322" t="s">
        <v>261</v>
      </c>
    </row>
    <row r="19" spans="1:14" ht="19.5" customHeight="1" thickBot="1">
      <c r="A19" s="321" t="s">
        <v>260</v>
      </c>
      <c r="B19" s="267">
        <v>0</v>
      </c>
      <c r="C19" s="267">
        <v>0</v>
      </c>
      <c r="D19" s="267">
        <v>0</v>
      </c>
      <c r="E19" s="267">
        <v>0</v>
      </c>
      <c r="F19" s="267">
        <v>0</v>
      </c>
      <c r="G19" s="267">
        <v>0</v>
      </c>
      <c r="H19" s="267">
        <v>0</v>
      </c>
      <c r="I19" s="267">
        <v>0</v>
      </c>
      <c r="J19" s="267">
        <v>0</v>
      </c>
      <c r="K19" s="267">
        <v>0</v>
      </c>
      <c r="L19" s="267">
        <v>0</v>
      </c>
      <c r="M19" s="526">
        <f t="shared" si="0"/>
        <v>0</v>
      </c>
      <c r="N19" s="322" t="s">
        <v>260</v>
      </c>
    </row>
    <row r="20" spans="1:14" ht="19.5" customHeight="1" thickBot="1">
      <c r="A20" s="321" t="s">
        <v>259</v>
      </c>
      <c r="B20" s="267">
        <v>0</v>
      </c>
      <c r="C20" s="267">
        <v>0</v>
      </c>
      <c r="D20" s="267">
        <v>0</v>
      </c>
      <c r="E20" s="267">
        <v>0</v>
      </c>
      <c r="F20" s="267">
        <v>0</v>
      </c>
      <c r="G20" s="267">
        <v>0</v>
      </c>
      <c r="H20" s="267">
        <v>0</v>
      </c>
      <c r="I20" s="267">
        <v>0</v>
      </c>
      <c r="J20" s="267">
        <v>0</v>
      </c>
      <c r="K20" s="267">
        <v>0</v>
      </c>
      <c r="L20" s="267">
        <v>0</v>
      </c>
      <c r="M20" s="526">
        <f t="shared" si="0"/>
        <v>0</v>
      </c>
      <c r="N20" s="322" t="s">
        <v>259</v>
      </c>
    </row>
    <row r="21" spans="1:14" ht="19.5" customHeight="1" thickBot="1">
      <c r="A21" s="321" t="s">
        <v>258</v>
      </c>
      <c r="B21" s="267">
        <v>0</v>
      </c>
      <c r="C21" s="267">
        <v>0</v>
      </c>
      <c r="D21" s="267">
        <v>0</v>
      </c>
      <c r="E21" s="267">
        <v>0</v>
      </c>
      <c r="F21" s="267">
        <v>0</v>
      </c>
      <c r="G21" s="267">
        <v>0</v>
      </c>
      <c r="H21" s="267">
        <v>0</v>
      </c>
      <c r="I21" s="267">
        <v>0</v>
      </c>
      <c r="J21" s="267">
        <v>0</v>
      </c>
      <c r="K21" s="267">
        <v>0</v>
      </c>
      <c r="L21" s="267">
        <v>0</v>
      </c>
      <c r="M21" s="526">
        <f t="shared" si="0"/>
        <v>0</v>
      </c>
      <c r="N21" s="322" t="s">
        <v>258</v>
      </c>
    </row>
    <row r="22" spans="1:14" ht="19.5" customHeight="1">
      <c r="A22" s="323" t="s">
        <v>19</v>
      </c>
      <c r="B22" s="268">
        <v>0</v>
      </c>
      <c r="C22" s="268">
        <v>0</v>
      </c>
      <c r="D22" s="268">
        <v>0</v>
      </c>
      <c r="E22" s="268">
        <v>0</v>
      </c>
      <c r="F22" s="268">
        <v>0</v>
      </c>
      <c r="G22" s="268">
        <v>0</v>
      </c>
      <c r="H22" s="268">
        <v>0</v>
      </c>
      <c r="I22" s="268">
        <v>0</v>
      </c>
      <c r="J22" s="268">
        <v>0</v>
      </c>
      <c r="K22" s="268">
        <v>0</v>
      </c>
      <c r="L22" s="268">
        <v>0</v>
      </c>
      <c r="M22" s="785">
        <f t="shared" si="0"/>
        <v>0</v>
      </c>
      <c r="N22" s="324" t="s">
        <v>20</v>
      </c>
    </row>
    <row r="23" spans="1:14" ht="19.5" customHeight="1">
      <c r="A23" s="759" t="s">
        <v>21</v>
      </c>
      <c r="B23" s="740">
        <f>SUBTOTAL(109,Table_Default__XLS_TAB_18_1[AGE_LEVEL_LESS_20])</f>
        <v>137</v>
      </c>
      <c r="C23" s="740">
        <f>SUBTOTAL(109,Table_Default__XLS_TAB_18_1[AGE_LEVEL_20_24])</f>
        <v>236</v>
      </c>
      <c r="D23" s="740">
        <f>SUBTOTAL(109,Table_Default__XLS_TAB_18_1[AGE_LEVEL_25_29])</f>
        <v>64</v>
      </c>
      <c r="E23" s="740">
        <f>SUBTOTAL(109,Table_Default__XLS_TAB_18_1[AGE_LEVEL_30_34])</f>
        <v>20</v>
      </c>
      <c r="F23" s="740">
        <f>SUBTOTAL(109,Table_Default__XLS_TAB_18_1[AGE_LEVEL_35_39])</f>
        <v>4</v>
      </c>
      <c r="G23" s="740">
        <f>SUBTOTAL(109,Table_Default__XLS_TAB_18_1[AGE_LEVEL_40_44])</f>
        <v>2</v>
      </c>
      <c r="H23" s="740">
        <f>SUBTOTAL(109,Table_Default__XLS_TAB_18_1[AGE_LEVEL_45_49])</f>
        <v>1</v>
      </c>
      <c r="I23" s="740">
        <f>SUBTOTAL(109,Table_Default__XLS_TAB_18_1[AGE_LEVEL_50_54])</f>
        <v>0</v>
      </c>
      <c r="J23" s="740">
        <f>SUBTOTAL(109,Table_Default__XLS_TAB_18_1[AGE_LEVEL_55_59])</f>
        <v>0</v>
      </c>
      <c r="K23" s="740">
        <f>SUBTOTAL(109,Table_Default__XLS_TAB_18_1[AGE_LEVEL_UP_60])</f>
        <v>0</v>
      </c>
      <c r="L23" s="740">
        <f>SUBTOTAL(109,Table_Default__XLS_TAB_18_1[AGE_LEVEL_NOT_STATED])</f>
        <v>0</v>
      </c>
      <c r="M23" s="740">
        <f>SUBTOTAL(109,Table_Default__XLS_TAB_18_1[TOTAL])</f>
        <v>464</v>
      </c>
      <c r="N23" s="760" t="s">
        <v>176</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
  <sheetViews>
    <sheetView rightToLeft="1" view="pageBreakPreview" zoomScaleNormal="100" zoomScaleSheetLayoutView="100" workbookViewId="0">
      <selection activeCell="A3" sqref="A3:N3"/>
    </sheetView>
  </sheetViews>
  <sheetFormatPr defaultColWidth="9.140625" defaultRowHeight="12.75"/>
  <cols>
    <col min="1" max="1" width="19.5703125" style="1" customWidth="1"/>
    <col min="2" max="11" width="8.42578125" style="1" customWidth="1"/>
    <col min="12" max="12" width="10.42578125" style="1" customWidth="1"/>
    <col min="13" max="13" width="8.28515625" style="1" customWidth="1"/>
    <col min="14" max="14" width="20.42578125" style="1" customWidth="1"/>
    <col min="15" max="16384" width="9.140625" style="1"/>
  </cols>
  <sheetData>
    <row r="1" spans="1:18" s="2" customFormat="1" ht="21.75" customHeight="1">
      <c r="A1" s="934" t="s">
        <v>452</v>
      </c>
      <c r="B1" s="934"/>
      <c r="C1" s="934"/>
      <c r="D1" s="934"/>
      <c r="E1" s="934"/>
      <c r="F1" s="934"/>
      <c r="G1" s="934"/>
      <c r="H1" s="934"/>
      <c r="I1" s="934"/>
      <c r="J1" s="934"/>
      <c r="K1" s="934"/>
      <c r="L1" s="934"/>
      <c r="M1" s="934"/>
      <c r="N1" s="934"/>
    </row>
    <row r="2" spans="1:18" s="2" customFormat="1" ht="32.25" customHeight="1">
      <c r="A2" s="958" t="s">
        <v>451</v>
      </c>
      <c r="B2" s="958"/>
      <c r="C2" s="958"/>
      <c r="D2" s="958"/>
      <c r="E2" s="958"/>
      <c r="F2" s="958"/>
      <c r="G2" s="958"/>
      <c r="H2" s="958"/>
      <c r="I2" s="958"/>
      <c r="J2" s="958"/>
      <c r="K2" s="958"/>
      <c r="L2" s="958"/>
      <c r="M2" s="958"/>
      <c r="N2" s="958"/>
    </row>
    <row r="3" spans="1:18" s="2" customFormat="1" ht="18" customHeight="1">
      <c r="A3" s="959">
        <v>2015</v>
      </c>
      <c r="B3" s="959"/>
      <c r="C3" s="959"/>
      <c r="D3" s="959"/>
      <c r="E3" s="959"/>
      <c r="F3" s="959"/>
      <c r="G3" s="959"/>
      <c r="H3" s="959"/>
      <c r="I3" s="959"/>
      <c r="J3" s="959"/>
      <c r="K3" s="959"/>
      <c r="L3" s="959"/>
      <c r="M3" s="959"/>
      <c r="N3" s="959"/>
      <c r="O3" s="125"/>
      <c r="P3" s="125"/>
      <c r="Q3" s="125"/>
      <c r="R3" s="125"/>
    </row>
    <row r="4" spans="1:18" s="2" customFormat="1" ht="15.75">
      <c r="A4" s="959" t="s">
        <v>455</v>
      </c>
      <c r="B4" s="959"/>
      <c r="C4" s="959"/>
      <c r="D4" s="959"/>
      <c r="E4" s="959"/>
      <c r="F4" s="959"/>
      <c r="G4" s="959"/>
      <c r="H4" s="959"/>
      <c r="I4" s="959"/>
      <c r="J4" s="959"/>
      <c r="K4" s="959"/>
      <c r="L4" s="959"/>
      <c r="M4" s="959"/>
      <c r="N4" s="959"/>
    </row>
    <row r="5" spans="1:18" s="2" customFormat="1" ht="15.75">
      <c r="A5" s="635"/>
      <c r="B5" s="635"/>
      <c r="C5" s="635"/>
      <c r="D5" s="635"/>
      <c r="E5" s="635"/>
      <c r="F5" s="635"/>
      <c r="G5" s="635"/>
      <c r="H5" s="635"/>
      <c r="I5" s="635"/>
      <c r="J5" s="635"/>
      <c r="K5" s="635"/>
      <c r="L5" s="635"/>
      <c r="M5" s="635"/>
      <c r="N5" s="635"/>
    </row>
    <row r="6" spans="1:18" ht="15.75">
      <c r="A6" s="648" t="s">
        <v>622</v>
      </c>
      <c r="B6" s="652"/>
      <c r="C6" s="652"/>
      <c r="D6" s="652"/>
      <c r="E6" s="652"/>
      <c r="F6" s="652"/>
      <c r="G6" s="652"/>
      <c r="H6" s="652"/>
      <c r="I6" s="652"/>
      <c r="J6" s="652"/>
      <c r="K6" s="652"/>
      <c r="L6" s="652"/>
      <c r="M6" s="652"/>
      <c r="N6" s="650" t="s">
        <v>623</v>
      </c>
    </row>
    <row r="7" spans="1:18" ht="26.25" customHeight="1" thickBot="1">
      <c r="A7" s="985" t="s">
        <v>289</v>
      </c>
      <c r="B7" s="969" t="s">
        <v>278</v>
      </c>
      <c r="C7" s="969"/>
      <c r="D7" s="969"/>
      <c r="E7" s="969"/>
      <c r="F7" s="969"/>
      <c r="G7" s="969"/>
      <c r="H7" s="969"/>
      <c r="I7" s="969"/>
      <c r="J7" s="969"/>
      <c r="K7" s="969"/>
      <c r="L7" s="969"/>
      <c r="M7" s="969"/>
      <c r="N7" s="987" t="s">
        <v>288</v>
      </c>
    </row>
    <row r="8" spans="1:18" ht="35.25" customHeight="1">
      <c r="A8" s="992"/>
      <c r="B8" s="577">
        <v>-20</v>
      </c>
      <c r="C8" s="577" t="s">
        <v>269</v>
      </c>
      <c r="D8" s="577" t="s">
        <v>268</v>
      </c>
      <c r="E8" s="577" t="s">
        <v>267</v>
      </c>
      <c r="F8" s="577" t="s">
        <v>266</v>
      </c>
      <c r="G8" s="577" t="s">
        <v>265</v>
      </c>
      <c r="H8" s="577" t="s">
        <v>264</v>
      </c>
      <c r="I8" s="577" t="s">
        <v>263</v>
      </c>
      <c r="J8" s="577" t="s">
        <v>262</v>
      </c>
      <c r="K8" s="577" t="s">
        <v>275</v>
      </c>
      <c r="L8" s="577" t="s">
        <v>293</v>
      </c>
      <c r="M8" s="577" t="s">
        <v>256</v>
      </c>
      <c r="N8" s="993"/>
    </row>
    <row r="9" spans="1:18" ht="19.5" customHeight="1" thickBot="1">
      <c r="A9" s="223" t="s">
        <v>751</v>
      </c>
      <c r="B9" s="266">
        <v>4</v>
      </c>
      <c r="C9" s="266">
        <v>0</v>
      </c>
      <c r="D9" s="266">
        <v>0</v>
      </c>
      <c r="E9" s="266">
        <v>0</v>
      </c>
      <c r="F9" s="266">
        <v>0</v>
      </c>
      <c r="G9" s="266">
        <v>0</v>
      </c>
      <c r="H9" s="266">
        <v>0</v>
      </c>
      <c r="I9" s="266">
        <v>0</v>
      </c>
      <c r="J9" s="266">
        <v>0</v>
      </c>
      <c r="K9" s="266">
        <v>0</v>
      </c>
      <c r="L9" s="266">
        <v>0</v>
      </c>
      <c r="M9" s="523">
        <f>SUM(B9:L9)</f>
        <v>4</v>
      </c>
      <c r="N9" s="183" t="s">
        <v>751</v>
      </c>
    </row>
    <row r="10" spans="1:18" ht="19.5" customHeight="1" thickBot="1">
      <c r="A10" s="321" t="s">
        <v>269</v>
      </c>
      <c r="B10" s="267">
        <v>43</v>
      </c>
      <c r="C10" s="267">
        <v>72</v>
      </c>
      <c r="D10" s="267">
        <v>16</v>
      </c>
      <c r="E10" s="267">
        <v>1</v>
      </c>
      <c r="F10" s="267">
        <v>0</v>
      </c>
      <c r="G10" s="267">
        <v>0</v>
      </c>
      <c r="H10" s="267">
        <v>0</v>
      </c>
      <c r="I10" s="267">
        <v>0</v>
      </c>
      <c r="J10" s="267">
        <v>0</v>
      </c>
      <c r="K10" s="267">
        <v>0</v>
      </c>
      <c r="L10" s="267">
        <v>0</v>
      </c>
      <c r="M10" s="523">
        <f t="shared" ref="M10:M22" si="0">SUM(B10:L10)</f>
        <v>132</v>
      </c>
      <c r="N10" s="322" t="s">
        <v>269</v>
      </c>
    </row>
    <row r="11" spans="1:18" ht="19.5" customHeight="1" thickBot="1">
      <c r="A11" s="321" t="s">
        <v>268</v>
      </c>
      <c r="B11" s="267">
        <v>19</v>
      </c>
      <c r="C11" s="267">
        <v>68</v>
      </c>
      <c r="D11" s="267">
        <v>27</v>
      </c>
      <c r="E11" s="267">
        <v>5</v>
      </c>
      <c r="F11" s="267">
        <v>0</v>
      </c>
      <c r="G11" s="267">
        <v>0</v>
      </c>
      <c r="H11" s="267">
        <v>0</v>
      </c>
      <c r="I11" s="267">
        <v>0</v>
      </c>
      <c r="J11" s="267">
        <v>0</v>
      </c>
      <c r="K11" s="267">
        <v>0</v>
      </c>
      <c r="L11" s="267">
        <v>0</v>
      </c>
      <c r="M11" s="523">
        <f t="shared" si="0"/>
        <v>119</v>
      </c>
      <c r="N11" s="322" t="s">
        <v>268</v>
      </c>
    </row>
    <row r="12" spans="1:18" ht="19.5" customHeight="1" thickBot="1">
      <c r="A12" s="321" t="s">
        <v>267</v>
      </c>
      <c r="B12" s="267">
        <v>4</v>
      </c>
      <c r="C12" s="267">
        <v>13</v>
      </c>
      <c r="D12" s="267">
        <v>10</v>
      </c>
      <c r="E12" s="267">
        <v>7</v>
      </c>
      <c r="F12" s="267">
        <v>3</v>
      </c>
      <c r="G12" s="267">
        <v>0</v>
      </c>
      <c r="H12" s="267">
        <v>0</v>
      </c>
      <c r="I12" s="267">
        <v>0</v>
      </c>
      <c r="J12" s="267">
        <v>0</v>
      </c>
      <c r="K12" s="267">
        <v>0</v>
      </c>
      <c r="L12" s="267">
        <v>0</v>
      </c>
      <c r="M12" s="523">
        <f t="shared" si="0"/>
        <v>37</v>
      </c>
      <c r="N12" s="322" t="s">
        <v>267</v>
      </c>
    </row>
    <row r="13" spans="1:18" ht="19.5" customHeight="1" thickBot="1">
      <c r="A13" s="321" t="s">
        <v>266</v>
      </c>
      <c r="B13" s="267">
        <v>0</v>
      </c>
      <c r="C13" s="267">
        <v>2</v>
      </c>
      <c r="D13" s="267">
        <v>7</v>
      </c>
      <c r="E13" s="267">
        <v>5</v>
      </c>
      <c r="F13" s="267">
        <v>1</v>
      </c>
      <c r="G13" s="267">
        <v>1</v>
      </c>
      <c r="H13" s="267">
        <v>0</v>
      </c>
      <c r="I13" s="267">
        <v>0</v>
      </c>
      <c r="J13" s="267">
        <v>0</v>
      </c>
      <c r="K13" s="267">
        <v>0</v>
      </c>
      <c r="L13" s="267">
        <v>0</v>
      </c>
      <c r="M13" s="523">
        <f t="shared" si="0"/>
        <v>16</v>
      </c>
      <c r="N13" s="322" t="s">
        <v>266</v>
      </c>
    </row>
    <row r="14" spans="1:18" ht="19.5" customHeight="1" thickBot="1">
      <c r="A14" s="321" t="s">
        <v>265</v>
      </c>
      <c r="B14" s="267">
        <v>0</v>
      </c>
      <c r="C14" s="267">
        <v>2</v>
      </c>
      <c r="D14" s="267">
        <v>3</v>
      </c>
      <c r="E14" s="267">
        <v>4</v>
      </c>
      <c r="F14" s="267">
        <v>4</v>
      </c>
      <c r="G14" s="267">
        <v>2</v>
      </c>
      <c r="H14" s="267">
        <v>0</v>
      </c>
      <c r="I14" s="267">
        <v>0</v>
      </c>
      <c r="J14" s="267">
        <v>0</v>
      </c>
      <c r="K14" s="267">
        <v>0</v>
      </c>
      <c r="L14" s="267">
        <v>0</v>
      </c>
      <c r="M14" s="523">
        <f t="shared" si="0"/>
        <v>15</v>
      </c>
      <c r="N14" s="322" t="s">
        <v>265</v>
      </c>
    </row>
    <row r="15" spans="1:18" ht="19.5" customHeight="1" thickBot="1">
      <c r="A15" s="321" t="s">
        <v>264</v>
      </c>
      <c r="B15" s="267">
        <v>1</v>
      </c>
      <c r="C15" s="267">
        <v>0</v>
      </c>
      <c r="D15" s="267">
        <v>1</v>
      </c>
      <c r="E15" s="267">
        <v>1</v>
      </c>
      <c r="F15" s="267">
        <v>1</v>
      </c>
      <c r="G15" s="267">
        <v>2</v>
      </c>
      <c r="H15" s="267">
        <v>1</v>
      </c>
      <c r="I15" s="267">
        <v>0</v>
      </c>
      <c r="J15" s="267">
        <v>0</v>
      </c>
      <c r="K15" s="267">
        <v>0</v>
      </c>
      <c r="L15" s="267">
        <v>0</v>
      </c>
      <c r="M15" s="523">
        <f t="shared" si="0"/>
        <v>7</v>
      </c>
      <c r="N15" s="322" t="s">
        <v>264</v>
      </c>
    </row>
    <row r="16" spans="1:18" ht="19.5" customHeight="1" thickBot="1">
      <c r="A16" s="321" t="s">
        <v>263</v>
      </c>
      <c r="B16" s="267">
        <v>0</v>
      </c>
      <c r="C16" s="267">
        <v>0</v>
      </c>
      <c r="D16" s="267">
        <v>0</v>
      </c>
      <c r="E16" s="267">
        <v>1</v>
      </c>
      <c r="F16" s="267">
        <v>2</v>
      </c>
      <c r="G16" s="267">
        <v>2</v>
      </c>
      <c r="H16" s="267">
        <v>1</v>
      </c>
      <c r="I16" s="267">
        <v>0</v>
      </c>
      <c r="J16" s="267">
        <v>0</v>
      </c>
      <c r="K16" s="267">
        <v>0</v>
      </c>
      <c r="L16" s="267">
        <v>0</v>
      </c>
      <c r="M16" s="523">
        <f t="shared" si="0"/>
        <v>6</v>
      </c>
      <c r="N16" s="322" t="s">
        <v>263</v>
      </c>
    </row>
    <row r="17" spans="1:14" ht="19.5" customHeight="1" thickBot="1">
      <c r="A17" s="321" t="s">
        <v>262</v>
      </c>
      <c r="B17" s="267">
        <v>0</v>
      </c>
      <c r="C17" s="267">
        <v>0</v>
      </c>
      <c r="D17" s="267">
        <v>0</v>
      </c>
      <c r="E17" s="267">
        <v>1</v>
      </c>
      <c r="F17" s="267">
        <v>1</v>
      </c>
      <c r="G17" s="267">
        <v>0</v>
      </c>
      <c r="H17" s="267">
        <v>0</v>
      </c>
      <c r="I17" s="267">
        <v>0</v>
      </c>
      <c r="J17" s="267">
        <v>0</v>
      </c>
      <c r="K17" s="267">
        <v>0</v>
      </c>
      <c r="L17" s="267">
        <v>0</v>
      </c>
      <c r="M17" s="523">
        <f t="shared" si="0"/>
        <v>2</v>
      </c>
      <c r="N17" s="322" t="s">
        <v>262</v>
      </c>
    </row>
    <row r="18" spans="1:14" ht="19.5" customHeight="1" thickBot="1">
      <c r="A18" s="321" t="s">
        <v>261</v>
      </c>
      <c r="B18" s="267">
        <v>0</v>
      </c>
      <c r="C18" s="267">
        <v>0</v>
      </c>
      <c r="D18" s="267">
        <v>0</v>
      </c>
      <c r="E18" s="267">
        <v>0</v>
      </c>
      <c r="F18" s="267">
        <v>0</v>
      </c>
      <c r="G18" s="267">
        <v>0</v>
      </c>
      <c r="H18" s="267">
        <v>0</v>
      </c>
      <c r="I18" s="267">
        <v>0</v>
      </c>
      <c r="J18" s="267">
        <v>0</v>
      </c>
      <c r="K18" s="267">
        <v>0</v>
      </c>
      <c r="L18" s="267">
        <v>0</v>
      </c>
      <c r="M18" s="523">
        <f t="shared" si="0"/>
        <v>0</v>
      </c>
      <c r="N18" s="322" t="s">
        <v>261</v>
      </c>
    </row>
    <row r="19" spans="1:14" ht="19.5" customHeight="1" thickBot="1">
      <c r="A19" s="321" t="s">
        <v>260</v>
      </c>
      <c r="B19" s="267">
        <v>0</v>
      </c>
      <c r="C19" s="267">
        <v>0</v>
      </c>
      <c r="D19" s="267">
        <v>0</v>
      </c>
      <c r="E19" s="267">
        <v>0</v>
      </c>
      <c r="F19" s="267">
        <v>0</v>
      </c>
      <c r="G19" s="267">
        <v>0</v>
      </c>
      <c r="H19" s="267">
        <v>0</v>
      </c>
      <c r="I19" s="267">
        <v>0</v>
      </c>
      <c r="J19" s="267">
        <v>0</v>
      </c>
      <c r="K19" s="267">
        <v>0</v>
      </c>
      <c r="L19" s="267">
        <v>0</v>
      </c>
      <c r="M19" s="523">
        <f t="shared" si="0"/>
        <v>0</v>
      </c>
      <c r="N19" s="322" t="s">
        <v>260</v>
      </c>
    </row>
    <row r="20" spans="1:14" ht="19.5" customHeight="1" thickBot="1">
      <c r="A20" s="321" t="s">
        <v>259</v>
      </c>
      <c r="B20" s="267">
        <v>0</v>
      </c>
      <c r="C20" s="267">
        <v>0</v>
      </c>
      <c r="D20" s="267">
        <v>0</v>
      </c>
      <c r="E20" s="267">
        <v>0</v>
      </c>
      <c r="F20" s="267">
        <v>0</v>
      </c>
      <c r="G20" s="267">
        <v>0</v>
      </c>
      <c r="H20" s="267">
        <v>0</v>
      </c>
      <c r="I20" s="267">
        <v>0</v>
      </c>
      <c r="J20" s="267">
        <v>0</v>
      </c>
      <c r="K20" s="267">
        <v>0</v>
      </c>
      <c r="L20" s="267">
        <v>0</v>
      </c>
      <c r="M20" s="523">
        <f t="shared" si="0"/>
        <v>0</v>
      </c>
      <c r="N20" s="322" t="s">
        <v>259</v>
      </c>
    </row>
    <row r="21" spans="1:14" ht="19.5" customHeight="1" thickBot="1">
      <c r="A21" s="321" t="s">
        <v>258</v>
      </c>
      <c r="B21" s="267">
        <v>0</v>
      </c>
      <c r="C21" s="267">
        <v>0</v>
      </c>
      <c r="D21" s="267">
        <v>0</v>
      </c>
      <c r="E21" s="267">
        <v>0</v>
      </c>
      <c r="F21" s="267">
        <v>0</v>
      </c>
      <c r="G21" s="267">
        <v>0</v>
      </c>
      <c r="H21" s="267">
        <v>0</v>
      </c>
      <c r="I21" s="267">
        <v>0</v>
      </c>
      <c r="J21" s="267">
        <v>0</v>
      </c>
      <c r="K21" s="267">
        <v>0</v>
      </c>
      <c r="L21" s="267">
        <v>0</v>
      </c>
      <c r="M21" s="523">
        <f t="shared" si="0"/>
        <v>0</v>
      </c>
      <c r="N21" s="322" t="s">
        <v>258</v>
      </c>
    </row>
    <row r="22" spans="1:14" ht="19.5" customHeight="1">
      <c r="A22" s="323" t="s">
        <v>19</v>
      </c>
      <c r="B22" s="268">
        <v>0</v>
      </c>
      <c r="C22" s="268">
        <v>0</v>
      </c>
      <c r="D22" s="268">
        <v>0</v>
      </c>
      <c r="E22" s="268">
        <v>0</v>
      </c>
      <c r="F22" s="268">
        <v>0</v>
      </c>
      <c r="G22" s="268">
        <v>0</v>
      </c>
      <c r="H22" s="268">
        <v>0</v>
      </c>
      <c r="I22" s="268">
        <v>0</v>
      </c>
      <c r="J22" s="268">
        <v>0</v>
      </c>
      <c r="K22" s="268">
        <v>0</v>
      </c>
      <c r="L22" s="268">
        <v>0</v>
      </c>
      <c r="M22" s="784">
        <f t="shared" si="0"/>
        <v>0</v>
      </c>
      <c r="N22" s="324" t="s">
        <v>20</v>
      </c>
    </row>
    <row r="23" spans="1:14" ht="19.5" customHeight="1">
      <c r="A23" s="761" t="s">
        <v>21</v>
      </c>
      <c r="B23" s="762">
        <f>SUBTOTAL(109,Table_Default__XLS_TAB_18_2[AGE_LEVEL_LESS_20])</f>
        <v>71</v>
      </c>
      <c r="C23" s="762">
        <f>SUBTOTAL(109,Table_Default__XLS_TAB_18_2[AGE_LEVEL_20_24])</f>
        <v>157</v>
      </c>
      <c r="D23" s="762">
        <f>SUBTOTAL(109,Table_Default__XLS_TAB_18_2[AGE_LEVEL_25_29])</f>
        <v>64</v>
      </c>
      <c r="E23" s="762">
        <f>SUBTOTAL(109,Table_Default__XLS_TAB_18_2[AGE_LEVEL_30_34])</f>
        <v>25</v>
      </c>
      <c r="F23" s="762">
        <f>SUBTOTAL(109,Table_Default__XLS_TAB_18_2[AGE_LEVEL_35_39])</f>
        <v>12</v>
      </c>
      <c r="G23" s="762">
        <f>SUBTOTAL(109,Table_Default__XLS_TAB_18_2[AGE_LEVEL_40_44])</f>
        <v>7</v>
      </c>
      <c r="H23" s="762">
        <f>SUBTOTAL(109,Table_Default__XLS_TAB_18_2[AGE_LEVEL_45_49])</f>
        <v>2</v>
      </c>
      <c r="I23" s="762">
        <f>SUBTOTAL(109,Table_Default__XLS_TAB_18_2[AGE_LEVEL_50_54])</f>
        <v>0</v>
      </c>
      <c r="J23" s="762">
        <f>SUBTOTAL(109,Table_Default__XLS_TAB_18_2[AGE_LEVEL_55_59])</f>
        <v>0</v>
      </c>
      <c r="K23" s="762">
        <f>SUBTOTAL(109,Table_Default__XLS_TAB_18_2[AGE_LEVEL_UP_60])</f>
        <v>0</v>
      </c>
      <c r="L23" s="762">
        <f>SUBTOTAL(109,Table_Default__XLS_TAB_18_2[AGE_LEVEL_NOT_STATED])</f>
        <v>0</v>
      </c>
      <c r="M23" s="762">
        <f>SUBTOTAL(109,Table_Default__XLS_TAB_18_2[TOTAL])</f>
        <v>338</v>
      </c>
      <c r="N23" s="763" t="s">
        <v>176</v>
      </c>
    </row>
    <row r="24" spans="1:14">
      <c r="A24" s="2"/>
      <c r="B24" s="2"/>
      <c r="C24" s="2"/>
      <c r="D24" s="2"/>
      <c r="E24" s="2"/>
      <c r="F24" s="2"/>
      <c r="G24" s="2"/>
      <c r="H24" s="2"/>
      <c r="I24" s="2"/>
      <c r="J24" s="2"/>
      <c r="K24" s="2"/>
      <c r="L24" s="2"/>
      <c r="M24" s="2"/>
      <c r="N24" s="2"/>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
  <sheetViews>
    <sheetView rightToLeft="1" view="pageBreakPreview" zoomScaleNormal="100" zoomScaleSheetLayoutView="100" workbookViewId="0">
      <selection activeCell="A3" sqref="A3:N3"/>
    </sheetView>
  </sheetViews>
  <sheetFormatPr defaultColWidth="9.140625" defaultRowHeight="12.75"/>
  <cols>
    <col min="1" max="1" width="19.5703125" style="1" customWidth="1"/>
    <col min="2" max="11" width="8.42578125" style="1" customWidth="1"/>
    <col min="12" max="12" width="10.42578125" style="1" customWidth="1"/>
    <col min="13" max="13" width="8.28515625" style="1" customWidth="1"/>
    <col min="14" max="14" width="20.42578125" style="1" customWidth="1"/>
    <col min="15" max="16384" width="9.140625" style="1"/>
  </cols>
  <sheetData>
    <row r="1" spans="1:18" s="2" customFormat="1" ht="21.75" customHeight="1">
      <c r="A1" s="934" t="s">
        <v>452</v>
      </c>
      <c r="B1" s="934"/>
      <c r="C1" s="934"/>
      <c r="D1" s="934"/>
      <c r="E1" s="934"/>
      <c r="F1" s="934"/>
      <c r="G1" s="934"/>
      <c r="H1" s="934"/>
      <c r="I1" s="934"/>
      <c r="J1" s="934"/>
      <c r="K1" s="934"/>
      <c r="L1" s="934"/>
      <c r="M1" s="934"/>
      <c r="N1" s="934"/>
    </row>
    <row r="2" spans="1:18" s="2" customFormat="1" ht="32.25" customHeight="1">
      <c r="A2" s="958" t="s">
        <v>451</v>
      </c>
      <c r="B2" s="958"/>
      <c r="C2" s="958"/>
      <c r="D2" s="958"/>
      <c r="E2" s="958"/>
      <c r="F2" s="958"/>
      <c r="G2" s="958"/>
      <c r="H2" s="958"/>
      <c r="I2" s="958"/>
      <c r="J2" s="958"/>
      <c r="K2" s="958"/>
      <c r="L2" s="958"/>
      <c r="M2" s="958"/>
      <c r="N2" s="958"/>
    </row>
    <row r="3" spans="1:18" s="2" customFormat="1" ht="18" customHeight="1">
      <c r="A3" s="959">
        <v>2015</v>
      </c>
      <c r="B3" s="959"/>
      <c r="C3" s="959"/>
      <c r="D3" s="959"/>
      <c r="E3" s="959"/>
      <c r="F3" s="959"/>
      <c r="G3" s="959"/>
      <c r="H3" s="959"/>
      <c r="I3" s="959"/>
      <c r="J3" s="959"/>
      <c r="K3" s="959"/>
      <c r="L3" s="959"/>
      <c r="M3" s="959"/>
      <c r="N3" s="959"/>
      <c r="O3" s="125"/>
      <c r="P3" s="125"/>
      <c r="Q3" s="125"/>
      <c r="R3" s="125"/>
    </row>
    <row r="4" spans="1:18" s="2" customFormat="1" ht="15.75">
      <c r="A4" s="959" t="s">
        <v>458</v>
      </c>
      <c r="B4" s="959"/>
      <c r="C4" s="959"/>
      <c r="D4" s="959"/>
      <c r="E4" s="959"/>
      <c r="F4" s="959"/>
      <c r="G4" s="959"/>
      <c r="H4" s="959"/>
      <c r="I4" s="959"/>
      <c r="J4" s="959"/>
      <c r="K4" s="959"/>
      <c r="L4" s="959"/>
      <c r="M4" s="959"/>
      <c r="N4" s="959"/>
    </row>
    <row r="5" spans="1:18" s="2" customFormat="1" ht="15.75">
      <c r="A5" s="635"/>
      <c r="B5" s="635"/>
      <c r="C5" s="635"/>
      <c r="D5" s="635"/>
      <c r="E5" s="635"/>
      <c r="F5" s="635"/>
      <c r="G5" s="635"/>
      <c r="H5" s="635"/>
      <c r="I5" s="635"/>
      <c r="J5" s="635"/>
      <c r="K5" s="635"/>
      <c r="L5" s="635"/>
      <c r="M5" s="635"/>
      <c r="N5" s="635"/>
    </row>
    <row r="6" spans="1:18" ht="15.75">
      <c r="A6" s="648" t="s">
        <v>620</v>
      </c>
      <c r="B6" s="652"/>
      <c r="C6" s="652"/>
      <c r="D6" s="652"/>
      <c r="E6" s="652"/>
      <c r="F6" s="652"/>
      <c r="G6" s="652"/>
      <c r="H6" s="652"/>
      <c r="I6" s="652"/>
      <c r="J6" s="652"/>
      <c r="K6" s="652"/>
      <c r="L6" s="652"/>
      <c r="M6" s="652"/>
      <c r="N6" s="650" t="s">
        <v>621</v>
      </c>
    </row>
    <row r="7" spans="1:18" ht="26.25" customHeight="1" thickBot="1">
      <c r="A7" s="985" t="s">
        <v>289</v>
      </c>
      <c r="B7" s="969" t="s">
        <v>278</v>
      </c>
      <c r="C7" s="969"/>
      <c r="D7" s="969"/>
      <c r="E7" s="969"/>
      <c r="F7" s="969"/>
      <c r="G7" s="969"/>
      <c r="H7" s="969"/>
      <c r="I7" s="969"/>
      <c r="J7" s="969"/>
      <c r="K7" s="969"/>
      <c r="L7" s="969"/>
      <c r="M7" s="969"/>
      <c r="N7" s="987" t="s">
        <v>288</v>
      </c>
    </row>
    <row r="8" spans="1:18" ht="35.25" customHeight="1">
      <c r="A8" s="992"/>
      <c r="B8" s="577">
        <v>-20</v>
      </c>
      <c r="C8" s="577" t="s">
        <v>269</v>
      </c>
      <c r="D8" s="577" t="s">
        <v>268</v>
      </c>
      <c r="E8" s="577" t="s">
        <v>267</v>
      </c>
      <c r="F8" s="577" t="s">
        <v>266</v>
      </c>
      <c r="G8" s="577" t="s">
        <v>265</v>
      </c>
      <c r="H8" s="577" t="s">
        <v>264</v>
      </c>
      <c r="I8" s="577" t="s">
        <v>263</v>
      </c>
      <c r="J8" s="577" t="s">
        <v>262</v>
      </c>
      <c r="K8" s="577" t="s">
        <v>275</v>
      </c>
      <c r="L8" s="577" t="s">
        <v>293</v>
      </c>
      <c r="M8" s="577" t="s">
        <v>256</v>
      </c>
      <c r="N8" s="993"/>
    </row>
    <row r="9" spans="1:18" ht="19.5" customHeight="1" thickBot="1">
      <c r="A9" s="223" t="s">
        <v>751</v>
      </c>
      <c r="B9" s="266">
        <v>8</v>
      </c>
      <c r="C9" s="266">
        <v>6</v>
      </c>
      <c r="D9" s="266">
        <v>1</v>
      </c>
      <c r="E9" s="266">
        <v>0</v>
      </c>
      <c r="F9" s="266">
        <v>0</v>
      </c>
      <c r="G9" s="266">
        <v>1</v>
      </c>
      <c r="H9" s="266">
        <v>0</v>
      </c>
      <c r="I9" s="266">
        <v>0</v>
      </c>
      <c r="J9" s="266">
        <v>0</v>
      </c>
      <c r="K9" s="266">
        <v>0</v>
      </c>
      <c r="L9" s="266">
        <v>0</v>
      </c>
      <c r="M9" s="527">
        <f>SUM(B9:L9)</f>
        <v>16</v>
      </c>
      <c r="N9" s="183" t="s">
        <v>751</v>
      </c>
    </row>
    <row r="10" spans="1:18" ht="19.5" customHeight="1" thickBot="1">
      <c r="A10" s="321" t="s">
        <v>269</v>
      </c>
      <c r="B10" s="267">
        <v>80</v>
      </c>
      <c r="C10" s="267">
        <v>214</v>
      </c>
      <c r="D10" s="267">
        <v>29</v>
      </c>
      <c r="E10" s="267">
        <v>2</v>
      </c>
      <c r="F10" s="267">
        <v>1</v>
      </c>
      <c r="G10" s="267">
        <v>0</v>
      </c>
      <c r="H10" s="267">
        <v>0</v>
      </c>
      <c r="I10" s="267">
        <v>0</v>
      </c>
      <c r="J10" s="267">
        <v>0</v>
      </c>
      <c r="K10" s="267">
        <v>0</v>
      </c>
      <c r="L10" s="267">
        <v>0</v>
      </c>
      <c r="M10" s="527">
        <f t="shared" ref="M10:M22" si="0">SUM(B10:L10)</f>
        <v>326</v>
      </c>
      <c r="N10" s="322" t="s">
        <v>269</v>
      </c>
    </row>
    <row r="11" spans="1:18" ht="19.5" customHeight="1" thickBot="1">
      <c r="A11" s="321" t="s">
        <v>268</v>
      </c>
      <c r="B11" s="267">
        <v>41</v>
      </c>
      <c r="C11" s="267">
        <v>245</v>
      </c>
      <c r="D11" s="267">
        <v>169</v>
      </c>
      <c r="E11" s="267">
        <v>18</v>
      </c>
      <c r="F11" s="267">
        <v>3</v>
      </c>
      <c r="G11" s="267">
        <v>1</v>
      </c>
      <c r="H11" s="267">
        <v>1</v>
      </c>
      <c r="I11" s="267">
        <v>0</v>
      </c>
      <c r="J11" s="267">
        <v>0</v>
      </c>
      <c r="K11" s="267">
        <v>0</v>
      </c>
      <c r="L11" s="267">
        <v>0</v>
      </c>
      <c r="M11" s="527">
        <f t="shared" si="0"/>
        <v>478</v>
      </c>
      <c r="N11" s="322" t="s">
        <v>268</v>
      </c>
    </row>
    <row r="12" spans="1:18" ht="19.5" customHeight="1" thickBot="1">
      <c r="A12" s="321" t="s">
        <v>267</v>
      </c>
      <c r="B12" s="267">
        <v>6</v>
      </c>
      <c r="C12" s="267">
        <v>45</v>
      </c>
      <c r="D12" s="267">
        <v>92</v>
      </c>
      <c r="E12" s="267">
        <v>38</v>
      </c>
      <c r="F12" s="267">
        <v>10</v>
      </c>
      <c r="G12" s="267">
        <v>2</v>
      </c>
      <c r="H12" s="267">
        <v>0</v>
      </c>
      <c r="I12" s="267">
        <v>0</v>
      </c>
      <c r="J12" s="267">
        <v>0</v>
      </c>
      <c r="K12" s="267">
        <v>0</v>
      </c>
      <c r="L12" s="267">
        <v>0</v>
      </c>
      <c r="M12" s="527">
        <f t="shared" si="0"/>
        <v>193</v>
      </c>
      <c r="N12" s="322" t="s">
        <v>267</v>
      </c>
    </row>
    <row r="13" spans="1:18" ht="19.5" customHeight="1" thickBot="1">
      <c r="A13" s="321" t="s">
        <v>266</v>
      </c>
      <c r="B13" s="267">
        <v>0</v>
      </c>
      <c r="C13" s="267">
        <v>11</v>
      </c>
      <c r="D13" s="267">
        <v>30</v>
      </c>
      <c r="E13" s="267">
        <v>36</v>
      </c>
      <c r="F13" s="267">
        <v>10</v>
      </c>
      <c r="G13" s="267">
        <v>5</v>
      </c>
      <c r="H13" s="267">
        <v>0</v>
      </c>
      <c r="I13" s="267">
        <v>0</v>
      </c>
      <c r="J13" s="267">
        <v>0</v>
      </c>
      <c r="K13" s="267">
        <v>0</v>
      </c>
      <c r="L13" s="267">
        <v>0</v>
      </c>
      <c r="M13" s="527">
        <f t="shared" si="0"/>
        <v>92</v>
      </c>
      <c r="N13" s="322" t="s">
        <v>266</v>
      </c>
    </row>
    <row r="14" spans="1:18" ht="19.5" customHeight="1" thickBot="1">
      <c r="A14" s="321" t="s">
        <v>265</v>
      </c>
      <c r="B14" s="267">
        <v>0</v>
      </c>
      <c r="C14" s="267">
        <v>0</v>
      </c>
      <c r="D14" s="267">
        <v>9</v>
      </c>
      <c r="E14" s="267">
        <v>15</v>
      </c>
      <c r="F14" s="267">
        <v>14</v>
      </c>
      <c r="G14" s="267">
        <v>10</v>
      </c>
      <c r="H14" s="267">
        <v>2</v>
      </c>
      <c r="I14" s="267">
        <v>0</v>
      </c>
      <c r="J14" s="267">
        <v>0</v>
      </c>
      <c r="K14" s="267">
        <v>0</v>
      </c>
      <c r="L14" s="267">
        <v>0</v>
      </c>
      <c r="M14" s="527">
        <f t="shared" si="0"/>
        <v>50</v>
      </c>
      <c r="N14" s="322" t="s">
        <v>265</v>
      </c>
    </row>
    <row r="15" spans="1:18" ht="19.5" customHeight="1" thickBot="1">
      <c r="A15" s="321" t="s">
        <v>264</v>
      </c>
      <c r="B15" s="267">
        <v>0</v>
      </c>
      <c r="C15" s="267">
        <v>3</v>
      </c>
      <c r="D15" s="267">
        <v>11</v>
      </c>
      <c r="E15" s="267">
        <v>13</v>
      </c>
      <c r="F15" s="267">
        <v>9</v>
      </c>
      <c r="G15" s="267">
        <v>7</v>
      </c>
      <c r="H15" s="267">
        <v>6</v>
      </c>
      <c r="I15" s="267">
        <v>1</v>
      </c>
      <c r="J15" s="267">
        <v>0</v>
      </c>
      <c r="K15" s="267">
        <v>0</v>
      </c>
      <c r="L15" s="267">
        <v>0</v>
      </c>
      <c r="M15" s="527">
        <f t="shared" si="0"/>
        <v>50</v>
      </c>
      <c r="N15" s="322" t="s">
        <v>264</v>
      </c>
    </row>
    <row r="16" spans="1:18" ht="19.5" customHeight="1" thickBot="1">
      <c r="A16" s="321" t="s">
        <v>263</v>
      </c>
      <c r="B16" s="267">
        <v>0</v>
      </c>
      <c r="C16" s="267">
        <v>3</v>
      </c>
      <c r="D16" s="267">
        <v>3</v>
      </c>
      <c r="E16" s="267">
        <v>6</v>
      </c>
      <c r="F16" s="267">
        <v>9</v>
      </c>
      <c r="G16" s="267">
        <v>10</v>
      </c>
      <c r="H16" s="267">
        <v>1</v>
      </c>
      <c r="I16" s="267">
        <v>2</v>
      </c>
      <c r="J16" s="267">
        <v>1</v>
      </c>
      <c r="K16" s="267">
        <v>0</v>
      </c>
      <c r="L16" s="267">
        <v>0</v>
      </c>
      <c r="M16" s="527">
        <f t="shared" si="0"/>
        <v>35</v>
      </c>
      <c r="N16" s="322" t="s">
        <v>263</v>
      </c>
    </row>
    <row r="17" spans="1:14" ht="19.5" customHeight="1" thickBot="1">
      <c r="A17" s="321" t="s">
        <v>262</v>
      </c>
      <c r="B17" s="267">
        <v>0</v>
      </c>
      <c r="C17" s="267">
        <v>1</v>
      </c>
      <c r="D17" s="267">
        <v>1</v>
      </c>
      <c r="E17" s="267">
        <v>1</v>
      </c>
      <c r="F17" s="267">
        <v>4</v>
      </c>
      <c r="G17" s="267">
        <v>4</v>
      </c>
      <c r="H17" s="267">
        <v>3</v>
      </c>
      <c r="I17" s="267">
        <v>1</v>
      </c>
      <c r="J17" s="267">
        <v>0</v>
      </c>
      <c r="K17" s="267">
        <v>0</v>
      </c>
      <c r="L17" s="267">
        <v>0</v>
      </c>
      <c r="M17" s="527">
        <f t="shared" si="0"/>
        <v>15</v>
      </c>
      <c r="N17" s="322" t="s">
        <v>262</v>
      </c>
    </row>
    <row r="18" spans="1:14" ht="19.5" customHeight="1" thickBot="1">
      <c r="A18" s="321" t="s">
        <v>261</v>
      </c>
      <c r="B18" s="267">
        <v>0</v>
      </c>
      <c r="C18" s="267">
        <v>0</v>
      </c>
      <c r="D18" s="267">
        <v>0</v>
      </c>
      <c r="E18" s="267">
        <v>2</v>
      </c>
      <c r="F18" s="267">
        <v>0</v>
      </c>
      <c r="G18" s="267">
        <v>0</v>
      </c>
      <c r="H18" s="267">
        <v>1</v>
      </c>
      <c r="I18" s="267">
        <v>1</v>
      </c>
      <c r="J18" s="267">
        <v>0</v>
      </c>
      <c r="K18" s="267">
        <v>0</v>
      </c>
      <c r="L18" s="267">
        <v>0</v>
      </c>
      <c r="M18" s="527">
        <f t="shared" si="0"/>
        <v>4</v>
      </c>
      <c r="N18" s="322" t="s">
        <v>261</v>
      </c>
    </row>
    <row r="19" spans="1:14" ht="19.5" customHeight="1" thickBot="1">
      <c r="A19" s="321" t="s">
        <v>260</v>
      </c>
      <c r="B19" s="267">
        <v>0</v>
      </c>
      <c r="C19" s="267">
        <v>0</v>
      </c>
      <c r="D19" s="267">
        <v>0</v>
      </c>
      <c r="E19" s="267">
        <v>0</v>
      </c>
      <c r="F19" s="267">
        <v>0</v>
      </c>
      <c r="G19" s="267">
        <v>2</v>
      </c>
      <c r="H19" s="267">
        <v>0</v>
      </c>
      <c r="I19" s="267">
        <v>0</v>
      </c>
      <c r="J19" s="267">
        <v>1</v>
      </c>
      <c r="K19" s="267">
        <v>0</v>
      </c>
      <c r="L19" s="267">
        <v>0</v>
      </c>
      <c r="M19" s="527">
        <f t="shared" si="0"/>
        <v>3</v>
      </c>
      <c r="N19" s="322" t="s">
        <v>260</v>
      </c>
    </row>
    <row r="20" spans="1:14" ht="19.5" customHeight="1" thickBot="1">
      <c r="A20" s="321" t="s">
        <v>259</v>
      </c>
      <c r="B20" s="267">
        <v>0</v>
      </c>
      <c r="C20" s="267">
        <v>0</v>
      </c>
      <c r="D20" s="267">
        <v>0</v>
      </c>
      <c r="E20" s="267">
        <v>2</v>
      </c>
      <c r="F20" s="267">
        <v>0</v>
      </c>
      <c r="G20" s="267">
        <v>0</v>
      </c>
      <c r="H20" s="267">
        <v>1</v>
      </c>
      <c r="I20" s="267">
        <v>0</v>
      </c>
      <c r="J20" s="267">
        <v>0</v>
      </c>
      <c r="K20" s="267">
        <v>1</v>
      </c>
      <c r="L20" s="267">
        <v>0</v>
      </c>
      <c r="M20" s="527">
        <f t="shared" si="0"/>
        <v>4</v>
      </c>
      <c r="N20" s="322" t="s">
        <v>259</v>
      </c>
    </row>
    <row r="21" spans="1:14" ht="19.5" customHeight="1" thickBot="1">
      <c r="A21" s="321" t="s">
        <v>258</v>
      </c>
      <c r="B21" s="267">
        <v>0</v>
      </c>
      <c r="C21" s="267">
        <v>0</v>
      </c>
      <c r="D21" s="267">
        <v>0</v>
      </c>
      <c r="E21" s="267">
        <v>1</v>
      </c>
      <c r="F21" s="267">
        <v>0</v>
      </c>
      <c r="G21" s="267">
        <v>0</v>
      </c>
      <c r="H21" s="267">
        <v>0</v>
      </c>
      <c r="I21" s="267">
        <v>0</v>
      </c>
      <c r="J21" s="267">
        <v>0</v>
      </c>
      <c r="K21" s="267">
        <v>0</v>
      </c>
      <c r="L21" s="267">
        <v>0</v>
      </c>
      <c r="M21" s="527">
        <f t="shared" si="0"/>
        <v>1</v>
      </c>
      <c r="N21" s="322" t="s">
        <v>258</v>
      </c>
    </row>
    <row r="22" spans="1:14" ht="19.5" customHeight="1">
      <c r="A22" s="323" t="s">
        <v>19</v>
      </c>
      <c r="B22" s="268">
        <v>0</v>
      </c>
      <c r="C22" s="268">
        <v>0</v>
      </c>
      <c r="D22" s="268">
        <v>0</v>
      </c>
      <c r="E22" s="268">
        <v>0</v>
      </c>
      <c r="F22" s="268">
        <v>0</v>
      </c>
      <c r="G22" s="268">
        <v>0</v>
      </c>
      <c r="H22" s="268">
        <v>0</v>
      </c>
      <c r="I22" s="268">
        <v>0</v>
      </c>
      <c r="J22" s="268">
        <v>0</v>
      </c>
      <c r="K22" s="268">
        <v>0</v>
      </c>
      <c r="L22" s="268">
        <v>0</v>
      </c>
      <c r="M22" s="783">
        <f t="shared" si="0"/>
        <v>0</v>
      </c>
      <c r="N22" s="324" t="s">
        <v>20</v>
      </c>
    </row>
    <row r="23" spans="1:14" ht="19.5" customHeight="1">
      <c r="A23" s="759" t="s">
        <v>21</v>
      </c>
      <c r="B23" s="740">
        <f>SUBTOTAL(109,Table_Default__XLS_TAB_18_3[AGE_LEVEL_LESS_20])</f>
        <v>135</v>
      </c>
      <c r="C23" s="740">
        <f>SUBTOTAL(109,Table_Default__XLS_TAB_18_3[AGE_LEVEL_20_24])</f>
        <v>528</v>
      </c>
      <c r="D23" s="740">
        <f>SUBTOTAL(109,Table_Default__XLS_TAB_18_3[AGE_LEVEL_25_29])</f>
        <v>345</v>
      </c>
      <c r="E23" s="740">
        <f>SUBTOTAL(109,Table_Default__XLS_TAB_18_3[AGE_LEVEL_30_34])</f>
        <v>134</v>
      </c>
      <c r="F23" s="740">
        <f>SUBTOTAL(109,Table_Default__XLS_TAB_18_3[AGE_LEVEL_35_39])</f>
        <v>60</v>
      </c>
      <c r="G23" s="740">
        <f>SUBTOTAL(109,Table_Default__XLS_TAB_18_3[AGE_LEVEL_40_44])</f>
        <v>42</v>
      </c>
      <c r="H23" s="740">
        <f>SUBTOTAL(109,Table_Default__XLS_TAB_18_3[AGE_LEVEL_45_49])</f>
        <v>15</v>
      </c>
      <c r="I23" s="740">
        <f>SUBTOTAL(109,Table_Default__XLS_TAB_18_3[AGE_LEVEL_50_54])</f>
        <v>5</v>
      </c>
      <c r="J23" s="740">
        <f>SUBTOTAL(109,Table_Default__XLS_TAB_18_3[AGE_LEVEL_55_59])</f>
        <v>2</v>
      </c>
      <c r="K23" s="740">
        <f>SUBTOTAL(109,Table_Default__XLS_TAB_18_3[AGE_LEVEL_UP_60])</f>
        <v>1</v>
      </c>
      <c r="L23" s="740">
        <f>SUBTOTAL(109,Table_Default__XLS_TAB_18_3[AGE_LEVEL_NOT_STATED])</f>
        <v>0</v>
      </c>
      <c r="M23" s="764">
        <f>SUBTOTAL(109,Table_Default__XLS_TAB_18_3[TOTAL])</f>
        <v>1267</v>
      </c>
      <c r="N23" s="760" t="s">
        <v>176</v>
      </c>
    </row>
    <row r="24" spans="1:14">
      <c r="A24" s="2"/>
      <c r="B24" s="2"/>
      <c r="C24" s="2"/>
      <c r="D24" s="2"/>
      <c r="E24" s="2"/>
      <c r="F24" s="2"/>
      <c r="G24" s="2"/>
      <c r="H24" s="2"/>
      <c r="I24" s="2"/>
      <c r="J24" s="2"/>
      <c r="K24" s="2"/>
      <c r="L24" s="2"/>
      <c r="M24" s="2"/>
      <c r="N24" s="2"/>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rightToLeft="1" view="pageBreakPreview" zoomScaleNormal="75" workbookViewId="0">
      <selection activeCell="M14" sqref="M14"/>
    </sheetView>
  </sheetViews>
  <sheetFormatPr defaultColWidth="9.140625" defaultRowHeight="12.75"/>
  <cols>
    <col min="1" max="1" width="16.85546875" style="2" customWidth="1"/>
    <col min="2" max="2" width="10.5703125" style="2" customWidth="1"/>
    <col min="3" max="3" width="7.42578125" style="2" bestFit="1" customWidth="1"/>
    <col min="4" max="9" width="5.28515625" style="2" bestFit="1" customWidth="1"/>
    <col min="10" max="10" width="9.85546875" style="2" bestFit="1" customWidth="1"/>
    <col min="11" max="11" width="7.85546875" style="2" bestFit="1" customWidth="1"/>
    <col min="12" max="12" width="10.7109375" style="2" customWidth="1"/>
    <col min="13" max="13" width="11.28515625" style="330" customWidth="1"/>
    <col min="14" max="14" width="24.7109375" style="2" customWidth="1"/>
    <col min="15" max="16384" width="9.140625" style="2"/>
  </cols>
  <sheetData>
    <row r="1" spans="1:14" ht="24" customHeight="1">
      <c r="A1" s="934" t="s">
        <v>476</v>
      </c>
      <c r="B1" s="934"/>
      <c r="C1" s="934"/>
      <c r="D1" s="994"/>
      <c r="E1" s="934"/>
      <c r="F1" s="934"/>
      <c r="G1" s="934"/>
      <c r="H1" s="934"/>
      <c r="I1" s="934"/>
      <c r="J1" s="934"/>
      <c r="K1" s="934"/>
      <c r="L1" s="934"/>
      <c r="M1" s="934"/>
      <c r="N1" s="934"/>
    </row>
    <row r="2" spans="1:14" s="3" customFormat="1" ht="18" customHeight="1">
      <c r="A2" s="958" t="s">
        <v>999</v>
      </c>
      <c r="B2" s="958"/>
      <c r="C2" s="958"/>
      <c r="D2" s="958"/>
      <c r="E2" s="958"/>
      <c r="F2" s="958"/>
      <c r="G2" s="958"/>
      <c r="H2" s="958"/>
      <c r="I2" s="958"/>
      <c r="J2" s="958"/>
      <c r="K2" s="958"/>
      <c r="L2" s="958"/>
      <c r="M2" s="958"/>
      <c r="N2" s="958"/>
    </row>
    <row r="3" spans="1:14" ht="15.75">
      <c r="A3" s="959">
        <v>2015</v>
      </c>
      <c r="B3" s="959"/>
      <c r="C3" s="959"/>
      <c r="D3" s="959"/>
      <c r="E3" s="959"/>
      <c r="F3" s="959"/>
      <c r="G3" s="959"/>
      <c r="H3" s="959"/>
      <c r="I3" s="959"/>
      <c r="J3" s="959"/>
      <c r="K3" s="959"/>
      <c r="L3" s="959"/>
      <c r="M3" s="959"/>
      <c r="N3" s="959"/>
    </row>
    <row r="4" spans="1:14" ht="15.75">
      <c r="A4" s="959"/>
      <c r="B4" s="959"/>
      <c r="C4" s="959"/>
      <c r="D4" s="959"/>
      <c r="E4" s="959"/>
      <c r="F4" s="959"/>
      <c r="G4" s="959"/>
      <c r="H4" s="959"/>
      <c r="I4" s="959"/>
      <c r="J4" s="959"/>
      <c r="K4" s="959"/>
      <c r="L4" s="959"/>
      <c r="M4" s="959"/>
      <c r="N4" s="959"/>
    </row>
    <row r="5" spans="1:14" ht="15.75">
      <c r="A5" s="648" t="s">
        <v>480</v>
      </c>
      <c r="B5" s="648"/>
      <c r="C5" s="653"/>
      <c r="D5" s="653"/>
      <c r="E5" s="653"/>
      <c r="F5" s="653"/>
      <c r="G5" s="653"/>
      <c r="H5" s="653"/>
      <c r="I5" s="653"/>
      <c r="J5" s="653"/>
      <c r="K5" s="653"/>
      <c r="L5" s="653"/>
      <c r="M5" s="654"/>
      <c r="N5" s="650" t="s">
        <v>624</v>
      </c>
    </row>
    <row r="6" spans="1:14" ht="30.75" customHeight="1" thickBot="1">
      <c r="A6" s="985" t="s">
        <v>433</v>
      </c>
      <c r="B6" s="1000" t="s">
        <v>475</v>
      </c>
      <c r="C6" s="1020" t="s">
        <v>938</v>
      </c>
      <c r="D6" s="1020"/>
      <c r="E6" s="1020"/>
      <c r="F6" s="1020"/>
      <c r="G6" s="1020"/>
      <c r="H6" s="1020"/>
      <c r="I6" s="1020"/>
      <c r="J6" s="1020"/>
      <c r="K6" s="1020"/>
      <c r="L6" s="1000" t="s">
        <v>5</v>
      </c>
      <c r="M6" s="1021" t="s">
        <v>474</v>
      </c>
      <c r="N6" s="997" t="s">
        <v>473</v>
      </c>
    </row>
    <row r="7" spans="1:14" ht="31.5" customHeight="1">
      <c r="A7" s="992"/>
      <c r="B7" s="1001"/>
      <c r="C7" s="577">
        <v>0</v>
      </c>
      <c r="D7" s="577">
        <v>1</v>
      </c>
      <c r="E7" s="577">
        <v>2</v>
      </c>
      <c r="F7" s="577">
        <v>3</v>
      </c>
      <c r="G7" s="577">
        <v>4</v>
      </c>
      <c r="H7" s="577">
        <v>5</v>
      </c>
      <c r="I7" s="577" t="s">
        <v>7</v>
      </c>
      <c r="J7" s="577" t="s">
        <v>8</v>
      </c>
      <c r="K7" s="583" t="s">
        <v>9</v>
      </c>
      <c r="L7" s="1023"/>
      <c r="M7" s="1022"/>
      <c r="N7" s="998"/>
    </row>
    <row r="8" spans="1:14" ht="23.25" customHeight="1" thickBot="1">
      <c r="A8" s="1016" t="s">
        <v>462</v>
      </c>
      <c r="B8" s="340" t="s">
        <v>467</v>
      </c>
      <c r="C8" s="331">
        <v>1554</v>
      </c>
      <c r="D8" s="331">
        <v>54</v>
      </c>
      <c r="E8" s="331">
        <v>36</v>
      </c>
      <c r="F8" s="331">
        <v>39</v>
      </c>
      <c r="G8" s="331">
        <v>36</v>
      </c>
      <c r="H8" s="331">
        <v>26</v>
      </c>
      <c r="I8" s="331">
        <v>52</v>
      </c>
      <c r="J8" s="331">
        <v>0</v>
      </c>
      <c r="K8" s="325">
        <f>SUM(C8:J8)</f>
        <v>1797</v>
      </c>
      <c r="L8" s="722">
        <f>K8/K16%</f>
        <v>48.254564983888287</v>
      </c>
      <c r="M8" s="335" t="s">
        <v>466</v>
      </c>
      <c r="N8" s="1015" t="s">
        <v>472</v>
      </c>
    </row>
    <row r="9" spans="1:14" ht="23.25" customHeight="1" thickBot="1">
      <c r="A9" s="1017"/>
      <c r="B9" s="341" t="s">
        <v>465</v>
      </c>
      <c r="C9" s="332">
        <v>0</v>
      </c>
      <c r="D9" s="332">
        <v>54</v>
      </c>
      <c r="E9" s="332">
        <v>72</v>
      </c>
      <c r="F9" s="332">
        <v>117</v>
      </c>
      <c r="G9" s="332">
        <v>144</v>
      </c>
      <c r="H9" s="332">
        <v>130</v>
      </c>
      <c r="I9" s="332">
        <v>390</v>
      </c>
      <c r="J9" s="332">
        <v>0</v>
      </c>
      <c r="K9" s="326">
        <f t="shared" ref="K9:K17" si="0">SUM(C9:J9)</f>
        <v>907</v>
      </c>
      <c r="L9" s="723">
        <f>K9/K17%</f>
        <v>45.854398382204245</v>
      </c>
      <c r="M9" s="336" t="s">
        <v>800</v>
      </c>
      <c r="N9" s="1013"/>
    </row>
    <row r="10" spans="1:14" ht="23.25" customHeight="1" thickBot="1">
      <c r="A10" s="1018" t="s">
        <v>471</v>
      </c>
      <c r="B10" s="342" t="s">
        <v>467</v>
      </c>
      <c r="C10" s="333">
        <v>205</v>
      </c>
      <c r="D10" s="333">
        <v>9</v>
      </c>
      <c r="E10" s="333">
        <v>10</v>
      </c>
      <c r="F10" s="333">
        <v>8</v>
      </c>
      <c r="G10" s="333">
        <v>8</v>
      </c>
      <c r="H10" s="333">
        <v>11</v>
      </c>
      <c r="I10" s="333">
        <v>21</v>
      </c>
      <c r="J10" s="333">
        <v>0</v>
      </c>
      <c r="K10" s="80">
        <f t="shared" si="0"/>
        <v>272</v>
      </c>
      <c r="L10" s="724">
        <f>K10/K16%</f>
        <v>7.3039742212674543</v>
      </c>
      <c r="M10" s="337" t="s">
        <v>466</v>
      </c>
      <c r="N10" s="1012" t="s">
        <v>470</v>
      </c>
    </row>
    <row r="11" spans="1:14" ht="23.25" customHeight="1" thickBot="1">
      <c r="A11" s="1018"/>
      <c r="B11" s="342" t="s">
        <v>465</v>
      </c>
      <c r="C11" s="333">
        <v>0</v>
      </c>
      <c r="D11" s="333">
        <v>9</v>
      </c>
      <c r="E11" s="333">
        <v>20</v>
      </c>
      <c r="F11" s="333">
        <v>24</v>
      </c>
      <c r="G11" s="333">
        <v>32</v>
      </c>
      <c r="H11" s="333">
        <v>55</v>
      </c>
      <c r="I11" s="333">
        <v>155</v>
      </c>
      <c r="J11" s="333">
        <v>0</v>
      </c>
      <c r="K11" s="80">
        <f t="shared" si="0"/>
        <v>295</v>
      </c>
      <c r="L11" s="724">
        <f>K11/K17%</f>
        <v>14.914054600606672</v>
      </c>
      <c r="M11" s="337" t="s">
        <v>800</v>
      </c>
      <c r="N11" s="1012"/>
    </row>
    <row r="12" spans="1:14" ht="23.25" customHeight="1" thickBot="1">
      <c r="A12" s="1017" t="s">
        <v>460</v>
      </c>
      <c r="B12" s="341" t="s">
        <v>467</v>
      </c>
      <c r="C12" s="332">
        <v>166</v>
      </c>
      <c r="D12" s="332">
        <v>6</v>
      </c>
      <c r="E12" s="332">
        <v>4</v>
      </c>
      <c r="F12" s="332">
        <v>5</v>
      </c>
      <c r="G12" s="332">
        <v>3</v>
      </c>
      <c r="H12" s="332">
        <v>4</v>
      </c>
      <c r="I12" s="332">
        <v>8</v>
      </c>
      <c r="J12" s="332">
        <v>0</v>
      </c>
      <c r="K12" s="326">
        <f t="shared" si="0"/>
        <v>196</v>
      </c>
      <c r="L12" s="723">
        <f>K12/K16%</f>
        <v>5.2631578947368416</v>
      </c>
      <c r="M12" s="336" t="s">
        <v>466</v>
      </c>
      <c r="N12" s="1013" t="s">
        <v>469</v>
      </c>
    </row>
    <row r="13" spans="1:14" ht="23.25" customHeight="1" thickBot="1">
      <c r="A13" s="1017"/>
      <c r="B13" s="341" t="s">
        <v>465</v>
      </c>
      <c r="C13" s="332">
        <v>0</v>
      </c>
      <c r="D13" s="332">
        <v>6</v>
      </c>
      <c r="E13" s="332">
        <v>8</v>
      </c>
      <c r="F13" s="332">
        <v>15</v>
      </c>
      <c r="G13" s="332">
        <v>12</v>
      </c>
      <c r="H13" s="332">
        <v>20</v>
      </c>
      <c r="I13" s="332">
        <v>73</v>
      </c>
      <c r="J13" s="332">
        <v>0</v>
      </c>
      <c r="K13" s="326">
        <f t="shared" si="0"/>
        <v>134</v>
      </c>
      <c r="L13" s="723">
        <f>K13/K17%</f>
        <v>6.7745197168857425</v>
      </c>
      <c r="M13" s="336" t="s">
        <v>800</v>
      </c>
      <c r="N13" s="1013"/>
    </row>
    <row r="14" spans="1:14" ht="23.25" customHeight="1" thickBot="1">
      <c r="A14" s="1018" t="s">
        <v>459</v>
      </c>
      <c r="B14" s="342" t="s">
        <v>467</v>
      </c>
      <c r="C14" s="333">
        <v>1237</v>
      </c>
      <c r="D14" s="333">
        <v>61</v>
      </c>
      <c r="E14" s="333">
        <v>59</v>
      </c>
      <c r="F14" s="333">
        <v>35</v>
      </c>
      <c r="G14" s="333">
        <v>29</v>
      </c>
      <c r="H14" s="333">
        <v>17</v>
      </c>
      <c r="I14" s="333">
        <v>21</v>
      </c>
      <c r="J14" s="333">
        <v>0</v>
      </c>
      <c r="K14" s="80">
        <f t="shared" si="0"/>
        <v>1459</v>
      </c>
      <c r="L14" s="724">
        <f>K14/K16%</f>
        <v>39.178302900107411</v>
      </c>
      <c r="M14" s="337" t="s">
        <v>466</v>
      </c>
      <c r="N14" s="1012" t="s">
        <v>468</v>
      </c>
    </row>
    <row r="15" spans="1:14" ht="23.25" customHeight="1">
      <c r="A15" s="1019"/>
      <c r="B15" s="343" t="s">
        <v>465</v>
      </c>
      <c r="C15" s="334">
        <v>0</v>
      </c>
      <c r="D15" s="334">
        <v>61</v>
      </c>
      <c r="E15" s="334">
        <v>118</v>
      </c>
      <c r="F15" s="334">
        <v>105</v>
      </c>
      <c r="G15" s="334">
        <v>116</v>
      </c>
      <c r="H15" s="334">
        <v>85</v>
      </c>
      <c r="I15" s="334">
        <v>157</v>
      </c>
      <c r="J15" s="334">
        <v>0</v>
      </c>
      <c r="K15" s="119">
        <f t="shared" si="0"/>
        <v>642</v>
      </c>
      <c r="L15" s="725">
        <f>K15/K17%</f>
        <v>32.457027300303338</v>
      </c>
      <c r="M15" s="338" t="s">
        <v>800</v>
      </c>
      <c r="N15" s="1014"/>
    </row>
    <row r="16" spans="1:14" ht="23.25" customHeight="1" thickBot="1">
      <c r="A16" s="1010" t="s">
        <v>354</v>
      </c>
      <c r="B16" s="340" t="s">
        <v>467</v>
      </c>
      <c r="C16" s="325">
        <f t="shared" ref="C16:J17" si="1">C8+C10+C12+C14</f>
        <v>3162</v>
      </c>
      <c r="D16" s="325">
        <f t="shared" si="1"/>
        <v>130</v>
      </c>
      <c r="E16" s="325">
        <f t="shared" si="1"/>
        <v>109</v>
      </c>
      <c r="F16" s="325">
        <f t="shared" si="1"/>
        <v>87</v>
      </c>
      <c r="G16" s="325">
        <f t="shared" si="1"/>
        <v>76</v>
      </c>
      <c r="H16" s="325">
        <f t="shared" si="1"/>
        <v>58</v>
      </c>
      <c r="I16" s="325">
        <f t="shared" si="1"/>
        <v>102</v>
      </c>
      <c r="J16" s="325">
        <f t="shared" si="1"/>
        <v>0</v>
      </c>
      <c r="K16" s="325">
        <f t="shared" si="0"/>
        <v>3724</v>
      </c>
      <c r="L16" s="722">
        <f>L8+L10+L12+L14</f>
        <v>100</v>
      </c>
      <c r="M16" s="335" t="s">
        <v>466</v>
      </c>
      <c r="N16" s="1009" t="s">
        <v>22</v>
      </c>
    </row>
    <row r="17" spans="1:14" ht="23.25" customHeight="1">
      <c r="A17" s="1011"/>
      <c r="B17" s="344" t="s">
        <v>465</v>
      </c>
      <c r="C17" s="327">
        <f t="shared" si="1"/>
        <v>0</v>
      </c>
      <c r="D17" s="327">
        <f t="shared" si="1"/>
        <v>130</v>
      </c>
      <c r="E17" s="327">
        <f t="shared" si="1"/>
        <v>218</v>
      </c>
      <c r="F17" s="327">
        <f t="shared" si="1"/>
        <v>261</v>
      </c>
      <c r="G17" s="327">
        <f t="shared" si="1"/>
        <v>304</v>
      </c>
      <c r="H17" s="327">
        <f t="shared" si="1"/>
        <v>290</v>
      </c>
      <c r="I17" s="327">
        <f t="shared" si="1"/>
        <v>775</v>
      </c>
      <c r="J17" s="327">
        <f t="shared" si="1"/>
        <v>0</v>
      </c>
      <c r="K17" s="327">
        <f t="shared" si="0"/>
        <v>1978</v>
      </c>
      <c r="L17" s="726">
        <f>L9+L11+L13+L15</f>
        <v>100</v>
      </c>
      <c r="M17" s="339" t="s">
        <v>800</v>
      </c>
      <c r="N17" s="996"/>
    </row>
    <row r="18" spans="1:14">
      <c r="C18" s="619"/>
      <c r="D18" s="619"/>
      <c r="E18" s="619"/>
      <c r="F18" s="619"/>
      <c r="G18" s="619"/>
      <c r="H18" s="619"/>
      <c r="I18" s="619"/>
      <c r="J18" s="619"/>
      <c r="K18" s="619"/>
      <c r="L18" s="619"/>
    </row>
    <row r="25" spans="1:14" ht="39" thickBot="1">
      <c r="B25" s="329" t="s">
        <v>463</v>
      </c>
      <c r="C25" s="329" t="s">
        <v>936</v>
      </c>
    </row>
    <row r="26" spans="1:14" ht="12.75" customHeight="1" thickBot="1">
      <c r="A26" s="137" t="s">
        <v>462</v>
      </c>
    </row>
    <row r="27" spans="1:14" ht="13.5" customHeight="1" thickBot="1">
      <c r="A27" s="137" t="s">
        <v>461</v>
      </c>
    </row>
    <row r="28" spans="1:14" ht="12.75" customHeight="1" thickBot="1">
      <c r="A28" s="137" t="s">
        <v>460</v>
      </c>
    </row>
    <row r="29" spans="1:14" ht="13.5" customHeight="1">
      <c r="A29" s="137" t="s">
        <v>459</v>
      </c>
    </row>
  </sheetData>
  <mergeCells count="20">
    <mergeCell ref="A1:N1"/>
    <mergeCell ref="A2:N2"/>
    <mergeCell ref="A3:N3"/>
    <mergeCell ref="A4:N4"/>
    <mergeCell ref="A6:A7"/>
    <mergeCell ref="C6:K6"/>
    <mergeCell ref="M6:M7"/>
    <mergeCell ref="N6:N7"/>
    <mergeCell ref="B6:B7"/>
    <mergeCell ref="L6:L7"/>
    <mergeCell ref="N8:N9"/>
    <mergeCell ref="A8:A9"/>
    <mergeCell ref="A10:A11"/>
    <mergeCell ref="A12:A13"/>
    <mergeCell ref="A14:A15"/>
    <mergeCell ref="N16:N17"/>
    <mergeCell ref="A16:A17"/>
    <mergeCell ref="N10:N11"/>
    <mergeCell ref="N12:N13"/>
    <mergeCell ref="N14:N15"/>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rightToLeft="1" view="pageBreakPreview" zoomScaleNormal="75" zoomScaleSheetLayoutView="100" workbookViewId="0">
      <selection activeCell="A3" sqref="A3:N3"/>
    </sheetView>
  </sheetViews>
  <sheetFormatPr defaultColWidth="9.140625" defaultRowHeight="12.75"/>
  <cols>
    <col min="1" max="1" width="16.85546875" style="2" customWidth="1"/>
    <col min="2" max="2" width="11.7109375" style="2" customWidth="1"/>
    <col min="3" max="11" width="7.85546875" style="2" customWidth="1"/>
    <col min="12" max="12" width="10.7109375" style="2" customWidth="1"/>
    <col min="13" max="13" width="11.85546875" style="330" customWidth="1"/>
    <col min="14" max="14" width="24.7109375" style="2" customWidth="1"/>
    <col min="15" max="16384" width="9.140625" style="2"/>
  </cols>
  <sheetData>
    <row r="1" spans="1:14" ht="24" customHeight="1">
      <c r="A1" s="934" t="s">
        <v>49</v>
      </c>
      <c r="B1" s="934"/>
      <c r="C1" s="934"/>
      <c r="D1" s="994"/>
      <c r="E1" s="934"/>
      <c r="F1" s="934"/>
      <c r="G1" s="934"/>
      <c r="H1" s="934"/>
      <c r="I1" s="934"/>
      <c r="J1" s="934"/>
      <c r="K1" s="934"/>
      <c r="L1" s="934"/>
      <c r="M1" s="934"/>
      <c r="N1" s="934"/>
    </row>
    <row r="2" spans="1:14" s="3" customFormat="1" ht="18" customHeight="1">
      <c r="A2" s="958" t="s">
        <v>968</v>
      </c>
      <c r="B2" s="958"/>
      <c r="C2" s="958"/>
      <c r="D2" s="958"/>
      <c r="E2" s="958"/>
      <c r="F2" s="958"/>
      <c r="G2" s="958"/>
      <c r="H2" s="958"/>
      <c r="I2" s="958"/>
      <c r="J2" s="958"/>
      <c r="K2" s="958"/>
      <c r="L2" s="958"/>
      <c r="M2" s="958"/>
      <c r="N2" s="958"/>
    </row>
    <row r="3" spans="1:14" ht="15.75">
      <c r="A3" s="959">
        <v>2015</v>
      </c>
      <c r="B3" s="959"/>
      <c r="C3" s="959"/>
      <c r="D3" s="959"/>
      <c r="E3" s="959"/>
      <c r="F3" s="959"/>
      <c r="G3" s="959"/>
      <c r="H3" s="959"/>
      <c r="I3" s="959"/>
      <c r="J3" s="959"/>
      <c r="K3" s="959"/>
      <c r="L3" s="959"/>
      <c r="M3" s="959"/>
      <c r="N3" s="959"/>
    </row>
    <row r="4" spans="1:14" ht="15.75">
      <c r="A4" s="959"/>
      <c r="B4" s="959"/>
      <c r="C4" s="959"/>
      <c r="D4" s="959"/>
      <c r="E4" s="959"/>
      <c r="F4" s="959"/>
      <c r="G4" s="959"/>
      <c r="H4" s="959"/>
      <c r="I4" s="959"/>
      <c r="J4" s="959"/>
      <c r="K4" s="959"/>
      <c r="L4" s="959"/>
      <c r="M4" s="959"/>
      <c r="N4" s="959"/>
    </row>
    <row r="5" spans="1:14" ht="15.75">
      <c r="A5" s="648" t="s">
        <v>483</v>
      </c>
      <c r="B5" s="648"/>
      <c r="C5" s="653"/>
      <c r="D5" s="653"/>
      <c r="E5" s="653"/>
      <c r="F5" s="653"/>
      <c r="G5" s="653"/>
      <c r="H5" s="653"/>
      <c r="I5" s="653"/>
      <c r="J5" s="653"/>
      <c r="K5" s="653"/>
      <c r="L5" s="653"/>
      <c r="M5" s="654"/>
      <c r="N5" s="650" t="s">
        <v>625</v>
      </c>
    </row>
    <row r="6" spans="1:14" ht="30.75" customHeight="1" thickBot="1">
      <c r="A6" s="985" t="s">
        <v>433</v>
      </c>
      <c r="B6" s="1000" t="s">
        <v>475</v>
      </c>
      <c r="C6" s="1020" t="s">
        <v>938</v>
      </c>
      <c r="D6" s="1020"/>
      <c r="E6" s="1020"/>
      <c r="F6" s="1020"/>
      <c r="G6" s="1020"/>
      <c r="H6" s="1020"/>
      <c r="I6" s="1020"/>
      <c r="J6" s="1020"/>
      <c r="K6" s="1020"/>
      <c r="L6" s="1000" t="s">
        <v>5</v>
      </c>
      <c r="M6" s="1021" t="s">
        <v>474</v>
      </c>
      <c r="N6" s="997" t="s">
        <v>473</v>
      </c>
    </row>
    <row r="7" spans="1:14" ht="31.5" customHeight="1">
      <c r="A7" s="992"/>
      <c r="B7" s="1001"/>
      <c r="C7" s="577">
        <v>0</v>
      </c>
      <c r="D7" s="577">
        <v>1</v>
      </c>
      <c r="E7" s="577">
        <v>2</v>
      </c>
      <c r="F7" s="577">
        <v>3</v>
      </c>
      <c r="G7" s="577">
        <v>4</v>
      </c>
      <c r="H7" s="577">
        <v>5</v>
      </c>
      <c r="I7" s="577" t="s">
        <v>7</v>
      </c>
      <c r="J7" s="577" t="s">
        <v>8</v>
      </c>
      <c r="K7" s="583" t="s">
        <v>9</v>
      </c>
      <c r="L7" s="1023"/>
      <c r="M7" s="1022"/>
      <c r="N7" s="998"/>
    </row>
    <row r="8" spans="1:14" ht="24" customHeight="1" thickBot="1">
      <c r="A8" s="1024" t="s">
        <v>462</v>
      </c>
      <c r="B8" s="528" t="s">
        <v>467</v>
      </c>
      <c r="C8" s="351">
        <v>1688</v>
      </c>
      <c r="D8" s="352">
        <v>42</v>
      </c>
      <c r="E8" s="352">
        <v>18</v>
      </c>
      <c r="F8" s="352">
        <v>24</v>
      </c>
      <c r="G8" s="352">
        <v>10</v>
      </c>
      <c r="H8" s="352">
        <v>3</v>
      </c>
      <c r="I8" s="352">
        <v>12</v>
      </c>
      <c r="J8" s="353">
        <v>0</v>
      </c>
      <c r="K8" s="354">
        <f>SUM(C8:J8)</f>
        <v>1797</v>
      </c>
      <c r="L8" s="722">
        <f>K8/K16%</f>
        <v>48.254564983888287</v>
      </c>
      <c r="M8" s="529" t="s">
        <v>466</v>
      </c>
      <c r="N8" s="1025" t="s">
        <v>472</v>
      </c>
    </row>
    <row r="9" spans="1:14" ht="24" customHeight="1" thickBot="1">
      <c r="A9" s="1017"/>
      <c r="B9" s="341" t="s">
        <v>465</v>
      </c>
      <c r="C9" s="345">
        <v>0</v>
      </c>
      <c r="D9" s="332">
        <v>42</v>
      </c>
      <c r="E9" s="332">
        <v>36</v>
      </c>
      <c r="F9" s="332">
        <v>72</v>
      </c>
      <c r="G9" s="332">
        <v>40</v>
      </c>
      <c r="H9" s="332">
        <v>15</v>
      </c>
      <c r="I9" s="332">
        <v>77</v>
      </c>
      <c r="J9" s="348">
        <v>0</v>
      </c>
      <c r="K9" s="326">
        <f>SUM(C9:J9)</f>
        <v>282</v>
      </c>
      <c r="L9" s="723">
        <f>K9/K17%</f>
        <v>54.545454545454547</v>
      </c>
      <c r="M9" s="336" t="s">
        <v>800</v>
      </c>
      <c r="N9" s="1013"/>
    </row>
    <row r="10" spans="1:14" ht="24" customHeight="1" thickBot="1">
      <c r="A10" s="1018" t="s">
        <v>471</v>
      </c>
      <c r="B10" s="342" t="s">
        <v>467</v>
      </c>
      <c r="C10" s="346">
        <v>256</v>
      </c>
      <c r="D10" s="333">
        <v>7</v>
      </c>
      <c r="E10" s="333">
        <v>6</v>
      </c>
      <c r="F10" s="333">
        <v>1</v>
      </c>
      <c r="G10" s="333">
        <v>2</v>
      </c>
      <c r="H10" s="333">
        <v>0</v>
      </c>
      <c r="I10" s="333">
        <v>0</v>
      </c>
      <c r="J10" s="349">
        <v>0</v>
      </c>
      <c r="K10" s="80">
        <f>SUM(C10:J10)</f>
        <v>272</v>
      </c>
      <c r="L10" s="724">
        <f>K10/K16%</f>
        <v>7.3039742212674543</v>
      </c>
      <c r="M10" s="337" t="s">
        <v>466</v>
      </c>
      <c r="N10" s="1012" t="s">
        <v>470</v>
      </c>
    </row>
    <row r="11" spans="1:14" ht="24" customHeight="1" thickBot="1">
      <c r="A11" s="1018"/>
      <c r="B11" s="342" t="s">
        <v>465</v>
      </c>
      <c r="C11" s="346">
        <v>0</v>
      </c>
      <c r="D11" s="333">
        <v>7</v>
      </c>
      <c r="E11" s="333">
        <v>12</v>
      </c>
      <c r="F11" s="333">
        <v>3</v>
      </c>
      <c r="G11" s="333">
        <v>8</v>
      </c>
      <c r="H11" s="333">
        <v>0</v>
      </c>
      <c r="I11" s="333">
        <v>0</v>
      </c>
      <c r="J11" s="349">
        <v>0</v>
      </c>
      <c r="K11" s="80">
        <f t="shared" ref="K11:K17" si="0">SUM(C11:J11)</f>
        <v>30</v>
      </c>
      <c r="L11" s="724">
        <f>K11/K17%</f>
        <v>5.8027079303675047</v>
      </c>
      <c r="M11" s="337" t="s">
        <v>800</v>
      </c>
      <c r="N11" s="1012"/>
    </row>
    <row r="12" spans="1:14" ht="24" customHeight="1" thickBot="1">
      <c r="A12" s="1017" t="s">
        <v>460</v>
      </c>
      <c r="B12" s="341" t="s">
        <v>467</v>
      </c>
      <c r="C12" s="345">
        <v>185</v>
      </c>
      <c r="D12" s="332">
        <v>1</v>
      </c>
      <c r="E12" s="332">
        <v>4</v>
      </c>
      <c r="F12" s="332">
        <v>1</v>
      </c>
      <c r="G12" s="332">
        <v>3</v>
      </c>
      <c r="H12" s="332">
        <v>1</v>
      </c>
      <c r="I12" s="332">
        <v>1</v>
      </c>
      <c r="J12" s="348">
        <v>0</v>
      </c>
      <c r="K12" s="326">
        <f t="shared" si="0"/>
        <v>196</v>
      </c>
      <c r="L12" s="723">
        <f>K12/K16%</f>
        <v>5.2631578947368416</v>
      </c>
      <c r="M12" s="336" t="s">
        <v>466</v>
      </c>
      <c r="N12" s="1013" t="s">
        <v>469</v>
      </c>
    </row>
    <row r="13" spans="1:14" ht="24" customHeight="1" thickBot="1">
      <c r="A13" s="1017"/>
      <c r="B13" s="341" t="s">
        <v>465</v>
      </c>
      <c r="C13" s="345">
        <v>0</v>
      </c>
      <c r="D13" s="332">
        <v>1</v>
      </c>
      <c r="E13" s="332">
        <v>8</v>
      </c>
      <c r="F13" s="332">
        <v>3</v>
      </c>
      <c r="G13" s="332">
        <v>12</v>
      </c>
      <c r="H13" s="332">
        <v>5</v>
      </c>
      <c r="I13" s="332">
        <v>8</v>
      </c>
      <c r="J13" s="348">
        <v>0</v>
      </c>
      <c r="K13" s="326">
        <f t="shared" si="0"/>
        <v>37</v>
      </c>
      <c r="L13" s="723">
        <f>K13/K17%</f>
        <v>7.1566731141199229</v>
      </c>
      <c r="M13" s="336" t="s">
        <v>800</v>
      </c>
      <c r="N13" s="1013"/>
    </row>
    <row r="14" spans="1:14" ht="24" customHeight="1" thickBot="1">
      <c r="A14" s="1018" t="s">
        <v>459</v>
      </c>
      <c r="B14" s="342" t="s">
        <v>467</v>
      </c>
      <c r="C14" s="346">
        <v>1368</v>
      </c>
      <c r="D14" s="333">
        <v>46</v>
      </c>
      <c r="E14" s="333">
        <v>25</v>
      </c>
      <c r="F14" s="333">
        <v>13</v>
      </c>
      <c r="G14" s="333">
        <v>4</v>
      </c>
      <c r="H14" s="333">
        <v>2</v>
      </c>
      <c r="I14" s="333">
        <v>1</v>
      </c>
      <c r="J14" s="349">
        <v>0</v>
      </c>
      <c r="K14" s="80">
        <f t="shared" si="0"/>
        <v>1459</v>
      </c>
      <c r="L14" s="724">
        <f>K14/K16%</f>
        <v>39.178302900107411</v>
      </c>
      <c r="M14" s="337" t="s">
        <v>466</v>
      </c>
      <c r="N14" s="1012" t="s">
        <v>468</v>
      </c>
    </row>
    <row r="15" spans="1:14" ht="24" customHeight="1">
      <c r="A15" s="1019"/>
      <c r="B15" s="343" t="s">
        <v>465</v>
      </c>
      <c r="C15" s="347">
        <v>0</v>
      </c>
      <c r="D15" s="334">
        <v>46</v>
      </c>
      <c r="E15" s="334">
        <v>50</v>
      </c>
      <c r="F15" s="334">
        <v>39</v>
      </c>
      <c r="G15" s="334">
        <v>16</v>
      </c>
      <c r="H15" s="334">
        <v>10</v>
      </c>
      <c r="I15" s="334">
        <v>7</v>
      </c>
      <c r="J15" s="350">
        <v>0</v>
      </c>
      <c r="K15" s="119">
        <f>SUM(C15:J15)</f>
        <v>168</v>
      </c>
      <c r="L15" s="725">
        <f>K15/K17%</f>
        <v>32.495164410058031</v>
      </c>
      <c r="M15" s="338" t="s">
        <v>800</v>
      </c>
      <c r="N15" s="1014"/>
    </row>
    <row r="16" spans="1:14" ht="24" customHeight="1" thickBot="1">
      <c r="A16" s="1010" t="s">
        <v>354</v>
      </c>
      <c r="B16" s="340" t="s">
        <v>467</v>
      </c>
      <c r="C16" s="354">
        <f t="shared" ref="C16:J17" si="1">C8+C10+C12+C14</f>
        <v>3497</v>
      </c>
      <c r="D16" s="354">
        <f t="shared" si="1"/>
        <v>96</v>
      </c>
      <c r="E16" s="354">
        <f t="shared" si="1"/>
        <v>53</v>
      </c>
      <c r="F16" s="354">
        <f t="shared" si="1"/>
        <v>39</v>
      </c>
      <c r="G16" s="354">
        <f t="shared" si="1"/>
        <v>19</v>
      </c>
      <c r="H16" s="354">
        <f t="shared" si="1"/>
        <v>6</v>
      </c>
      <c r="I16" s="354">
        <f t="shared" si="1"/>
        <v>14</v>
      </c>
      <c r="J16" s="354">
        <f t="shared" si="1"/>
        <v>0</v>
      </c>
      <c r="K16" s="325">
        <f>SUM(C16:J16)</f>
        <v>3724</v>
      </c>
      <c r="L16" s="722">
        <f>L8+L10+L12+L14</f>
        <v>100</v>
      </c>
      <c r="M16" s="335" t="s">
        <v>466</v>
      </c>
      <c r="N16" s="1009" t="s">
        <v>22</v>
      </c>
    </row>
    <row r="17" spans="1:14" ht="24" customHeight="1">
      <c r="A17" s="1011"/>
      <c r="B17" s="344" t="s">
        <v>465</v>
      </c>
      <c r="C17" s="327">
        <f t="shared" si="1"/>
        <v>0</v>
      </c>
      <c r="D17" s="327">
        <f t="shared" si="1"/>
        <v>96</v>
      </c>
      <c r="E17" s="327">
        <f t="shared" si="1"/>
        <v>106</v>
      </c>
      <c r="F17" s="327">
        <f t="shared" si="1"/>
        <v>117</v>
      </c>
      <c r="G17" s="327">
        <f t="shared" si="1"/>
        <v>76</v>
      </c>
      <c r="H17" s="327">
        <f t="shared" si="1"/>
        <v>30</v>
      </c>
      <c r="I17" s="327">
        <f t="shared" si="1"/>
        <v>92</v>
      </c>
      <c r="J17" s="327">
        <f t="shared" si="1"/>
        <v>0</v>
      </c>
      <c r="K17" s="327">
        <f t="shared" si="0"/>
        <v>517</v>
      </c>
      <c r="L17" s="726">
        <f>L9+L11+L13+L15</f>
        <v>100</v>
      </c>
      <c r="M17" s="339" t="s">
        <v>800</v>
      </c>
      <c r="N17" s="996"/>
    </row>
    <row r="18" spans="1:14">
      <c r="L18" s="619"/>
    </row>
    <row r="25" spans="1:14" ht="39" thickBot="1">
      <c r="B25" s="329" t="s">
        <v>463</v>
      </c>
      <c r="C25" s="329" t="s">
        <v>937</v>
      </c>
    </row>
    <row r="26" spans="1:14" ht="75.75" thickBot="1">
      <c r="A26" s="137" t="s">
        <v>940</v>
      </c>
      <c r="B26" s="313">
        <f>K8</f>
        <v>1797</v>
      </c>
      <c r="C26" s="313">
        <f>K9</f>
        <v>282</v>
      </c>
    </row>
    <row r="27" spans="1:14" ht="90.75" thickBot="1">
      <c r="A27" s="137" t="s">
        <v>941</v>
      </c>
      <c r="B27" s="313">
        <f>K10</f>
        <v>272</v>
      </c>
      <c r="C27" s="313">
        <f>K11</f>
        <v>30</v>
      </c>
    </row>
    <row r="28" spans="1:14" ht="75.75" thickBot="1">
      <c r="A28" s="137" t="s">
        <v>942</v>
      </c>
      <c r="B28" s="313">
        <f>K12</f>
        <v>196</v>
      </c>
      <c r="C28" s="313">
        <f>K13</f>
        <v>37</v>
      </c>
    </row>
    <row r="29" spans="1:14" ht="90">
      <c r="A29" s="137" t="s">
        <v>943</v>
      </c>
      <c r="B29" s="313">
        <f>K14</f>
        <v>1459</v>
      </c>
      <c r="C29" s="313">
        <f>K15</f>
        <v>168</v>
      </c>
    </row>
  </sheetData>
  <mergeCells count="20">
    <mergeCell ref="A1:N1"/>
    <mergeCell ref="A2:N2"/>
    <mergeCell ref="A3:N3"/>
    <mergeCell ref="A4:N4"/>
    <mergeCell ref="A6:A7"/>
    <mergeCell ref="B6:B7"/>
    <mergeCell ref="C6:K6"/>
    <mergeCell ref="M6:M7"/>
    <mergeCell ref="N6:N7"/>
    <mergeCell ref="L6:L7"/>
    <mergeCell ref="A8:A9"/>
    <mergeCell ref="N8:N9"/>
    <mergeCell ref="A16:A17"/>
    <mergeCell ref="N16:N17"/>
    <mergeCell ref="A10:A11"/>
    <mergeCell ref="N10:N11"/>
    <mergeCell ref="A12:A13"/>
    <mergeCell ref="N12:N13"/>
    <mergeCell ref="A14:A15"/>
    <mergeCell ref="N14:N15"/>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3:M33"/>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33" spans="1:13" ht="15.75">
      <c r="A33" s="945" t="s">
        <v>477</v>
      </c>
      <c r="B33" s="945"/>
      <c r="C33" s="945"/>
      <c r="D33" s="945"/>
      <c r="E33" s="945"/>
      <c r="F33" s="945"/>
      <c r="G33" s="945"/>
      <c r="H33" s="945"/>
      <c r="I33" s="945"/>
      <c r="J33" s="945"/>
      <c r="K33" s="945"/>
      <c r="L33" s="945"/>
      <c r="M33" s="945"/>
    </row>
  </sheetData>
  <mergeCells count="1">
    <mergeCell ref="A33:M33"/>
  </mergeCells>
  <printOptions horizontalCentered="1" verticalCentered="1"/>
  <pageMargins left="0" right="0" top="0" bottom="0" header="0" footer="0"/>
  <pageSetup paperSize="9"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Normal="100" zoomScaleSheetLayoutView="100" workbookViewId="0">
      <selection activeCell="B24" sqref="B24"/>
    </sheetView>
  </sheetViews>
  <sheetFormatPr defaultColWidth="9.140625" defaultRowHeight="12.75"/>
  <cols>
    <col min="1" max="1" width="52.7109375" style="1" customWidth="1"/>
    <col min="2" max="16384" width="9.140625" style="1"/>
  </cols>
  <sheetData/>
  <printOptions horizontalCentered="1" verticalCentered="1"/>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rightToLeft="1" view="pageBreakPreview" topLeftCell="A4" zoomScaleNormal="100" zoomScaleSheetLayoutView="100" workbookViewId="0">
      <selection activeCell="D20" sqref="D20"/>
    </sheetView>
  </sheetViews>
  <sheetFormatPr defaultColWidth="9.140625" defaultRowHeight="12.75"/>
  <cols>
    <col min="1" max="1" width="13.85546875" style="1" customWidth="1"/>
    <col min="2" max="13" width="10.7109375" style="1" customWidth="1"/>
    <col min="14" max="14" width="13.85546875" style="1" customWidth="1"/>
    <col min="15" max="16384" width="9.140625" style="1"/>
  </cols>
  <sheetData>
    <row r="1" spans="1:15" ht="18">
      <c r="A1" s="934" t="s">
        <v>481</v>
      </c>
      <c r="B1" s="934"/>
      <c r="C1" s="934"/>
      <c r="D1" s="934"/>
      <c r="E1" s="934"/>
      <c r="F1" s="934"/>
      <c r="G1" s="934"/>
      <c r="H1" s="934"/>
      <c r="I1" s="934"/>
      <c r="J1" s="934"/>
      <c r="K1" s="934"/>
      <c r="L1" s="934"/>
      <c r="M1" s="934"/>
      <c r="N1" s="934"/>
    </row>
    <row r="2" spans="1:15" ht="33" customHeight="1">
      <c r="A2" s="958" t="s">
        <v>969</v>
      </c>
      <c r="B2" s="958"/>
      <c r="C2" s="958"/>
      <c r="D2" s="958"/>
      <c r="E2" s="958"/>
      <c r="F2" s="958"/>
      <c r="G2" s="958"/>
      <c r="H2" s="958"/>
      <c r="I2" s="958"/>
      <c r="J2" s="958"/>
      <c r="K2" s="958"/>
      <c r="L2" s="958"/>
      <c r="M2" s="958"/>
      <c r="N2" s="958"/>
    </row>
    <row r="3" spans="1:15" ht="15.75">
      <c r="A3" s="959" t="s">
        <v>1047</v>
      </c>
      <c r="B3" s="959"/>
      <c r="C3" s="959"/>
      <c r="D3" s="959"/>
      <c r="E3" s="959"/>
      <c r="F3" s="959"/>
      <c r="G3" s="959"/>
      <c r="H3" s="959"/>
      <c r="I3" s="959"/>
      <c r="J3" s="959"/>
      <c r="K3" s="959"/>
      <c r="L3" s="959"/>
      <c r="M3" s="959"/>
      <c r="N3" s="959"/>
    </row>
    <row r="4" spans="1:15" ht="15.75">
      <c r="A4" s="959"/>
      <c r="B4" s="959"/>
      <c r="C4" s="959"/>
      <c r="D4" s="959"/>
      <c r="E4" s="959"/>
      <c r="F4" s="959"/>
      <c r="G4" s="959"/>
      <c r="H4" s="959"/>
      <c r="I4" s="959"/>
      <c r="J4" s="959"/>
      <c r="K4" s="959"/>
      <c r="L4" s="959"/>
      <c r="M4" s="959"/>
      <c r="N4" s="959"/>
    </row>
    <row r="5" spans="1:15" ht="20.25" customHeight="1">
      <c r="A5" s="640" t="s">
        <v>499</v>
      </c>
      <c r="B5" s="637"/>
      <c r="C5" s="641"/>
      <c r="D5" s="641"/>
      <c r="E5" s="642"/>
      <c r="F5" s="637"/>
      <c r="G5" s="641"/>
      <c r="H5" s="641"/>
      <c r="I5" s="642"/>
      <c r="J5" s="637"/>
      <c r="K5" s="641"/>
      <c r="L5" s="641"/>
      <c r="M5" s="642"/>
      <c r="N5" s="643" t="s">
        <v>626</v>
      </c>
      <c r="O5" s="102"/>
    </row>
    <row r="6" spans="1:15" ht="30.75" customHeight="1" thickBot="1">
      <c r="A6" s="937" t="s">
        <v>147</v>
      </c>
      <c r="B6" s="1026" t="s">
        <v>173</v>
      </c>
      <c r="C6" s="1026"/>
      <c r="D6" s="1026"/>
      <c r="E6" s="1026"/>
      <c r="F6" s="1026" t="s">
        <v>172</v>
      </c>
      <c r="G6" s="1026"/>
      <c r="H6" s="1026"/>
      <c r="I6" s="1026"/>
      <c r="J6" s="1026" t="s">
        <v>1</v>
      </c>
      <c r="K6" s="1026"/>
      <c r="L6" s="1026"/>
      <c r="M6" s="1026"/>
      <c r="N6" s="942" t="s">
        <v>144</v>
      </c>
    </row>
    <row r="7" spans="1:15" ht="24" customHeight="1" thickBot="1">
      <c r="A7" s="938"/>
      <c r="B7" s="964" t="s">
        <v>171</v>
      </c>
      <c r="C7" s="964"/>
      <c r="D7" s="964" t="s">
        <v>170</v>
      </c>
      <c r="E7" s="964"/>
      <c r="F7" s="964" t="s">
        <v>171</v>
      </c>
      <c r="G7" s="964"/>
      <c r="H7" s="964" t="s">
        <v>170</v>
      </c>
      <c r="I7" s="964"/>
      <c r="J7" s="964" t="s">
        <v>171</v>
      </c>
      <c r="K7" s="964"/>
      <c r="L7" s="964" t="s">
        <v>170</v>
      </c>
      <c r="M7" s="964"/>
      <c r="N7" s="943"/>
    </row>
    <row r="8" spans="1:15" ht="66.75" customHeight="1">
      <c r="A8" s="979"/>
      <c r="B8" s="738" t="s">
        <v>479</v>
      </c>
      <c r="C8" s="738" t="s">
        <v>478</v>
      </c>
      <c r="D8" s="738" t="s">
        <v>479</v>
      </c>
      <c r="E8" s="738" t="s">
        <v>478</v>
      </c>
      <c r="F8" s="738" t="s">
        <v>479</v>
      </c>
      <c r="G8" s="738" t="s">
        <v>478</v>
      </c>
      <c r="H8" s="738" t="s">
        <v>479</v>
      </c>
      <c r="I8" s="738" t="s">
        <v>478</v>
      </c>
      <c r="J8" s="738" t="s">
        <v>479</v>
      </c>
      <c r="K8" s="738" t="s">
        <v>478</v>
      </c>
      <c r="L8" s="738" t="s">
        <v>479</v>
      </c>
      <c r="M8" s="738" t="s">
        <v>478</v>
      </c>
      <c r="N8" s="982"/>
    </row>
    <row r="9" spans="1:15" ht="24.95" customHeight="1" thickBot="1">
      <c r="A9" s="798">
        <v>2006</v>
      </c>
      <c r="B9" s="799">
        <v>604</v>
      </c>
      <c r="C9" s="800">
        <v>10.434662428304886</v>
      </c>
      <c r="D9" s="799">
        <v>594</v>
      </c>
      <c r="E9" s="800">
        <v>9.4638731777264411</v>
      </c>
      <c r="F9" s="799">
        <v>222</v>
      </c>
      <c r="G9" s="800">
        <v>0.37493919904880291</v>
      </c>
      <c r="H9" s="799">
        <v>232</v>
      </c>
      <c r="I9" s="800">
        <v>1.7703166730255626</v>
      </c>
      <c r="J9" s="799">
        <v>826</v>
      </c>
      <c r="K9" s="800">
        <v>1.2708083325640789</v>
      </c>
      <c r="L9" s="799">
        <v>826</v>
      </c>
      <c r="M9" s="800">
        <v>4.2617960426179602</v>
      </c>
      <c r="N9" s="801">
        <v>2006</v>
      </c>
    </row>
    <row r="10" spans="1:15" ht="24.95" customHeight="1" thickBot="1">
      <c r="A10" s="81">
        <v>2007</v>
      </c>
      <c r="B10" s="96">
        <v>721</v>
      </c>
      <c r="C10" s="101">
        <v>11.929185969556585</v>
      </c>
      <c r="D10" s="96">
        <v>675</v>
      </c>
      <c r="E10" s="101">
        <v>10.332001653120265</v>
      </c>
      <c r="F10" s="96">
        <v>276</v>
      </c>
      <c r="G10" s="101">
        <v>0.37414191365455313</v>
      </c>
      <c r="H10" s="96">
        <v>322</v>
      </c>
      <c r="I10" s="101">
        <v>2.1696066408829355</v>
      </c>
      <c r="J10" s="96">
        <v>997</v>
      </c>
      <c r="K10" s="101">
        <v>1.2491730649720345</v>
      </c>
      <c r="L10" s="96">
        <v>997</v>
      </c>
      <c r="M10" s="101">
        <v>4.6644365950080706</v>
      </c>
      <c r="N10" s="79">
        <v>2007</v>
      </c>
    </row>
    <row r="11" spans="1:15" ht="24.95" customHeight="1" thickBot="1">
      <c r="A11" s="78">
        <v>2008</v>
      </c>
      <c r="B11" s="95">
        <v>688</v>
      </c>
      <c r="C11" s="100">
        <v>10.8990099009901</v>
      </c>
      <c r="D11" s="95">
        <v>634</v>
      </c>
      <c r="E11" s="100">
        <v>9.3103853383458652</v>
      </c>
      <c r="F11" s="95">
        <v>251</v>
      </c>
      <c r="G11" s="100">
        <v>0.26795856143617253</v>
      </c>
      <c r="H11" s="95">
        <v>305</v>
      </c>
      <c r="I11" s="100">
        <v>1.8258006584854833</v>
      </c>
      <c r="J11" s="95">
        <v>939</v>
      </c>
      <c r="K11" s="100">
        <v>0.93915308195235825</v>
      </c>
      <c r="L11" s="95">
        <v>939</v>
      </c>
      <c r="M11" s="100">
        <v>3.9932637595366285</v>
      </c>
      <c r="N11" s="77">
        <v>2008</v>
      </c>
    </row>
    <row r="12" spans="1:15" ht="24.95" customHeight="1" thickBot="1">
      <c r="A12" s="81">
        <v>2009</v>
      </c>
      <c r="B12" s="96">
        <v>787</v>
      </c>
      <c r="C12" s="101">
        <v>12.05742213234055</v>
      </c>
      <c r="D12" s="96">
        <v>731</v>
      </c>
      <c r="E12" s="101">
        <v>10.391788923006937</v>
      </c>
      <c r="F12" s="96">
        <v>321</v>
      </c>
      <c r="G12" s="101">
        <v>0.2960189599682771</v>
      </c>
      <c r="H12" s="96">
        <v>377</v>
      </c>
      <c r="I12" s="101">
        <v>1.9347819392981411</v>
      </c>
      <c r="J12" s="96">
        <v>1108</v>
      </c>
      <c r="K12" s="101">
        <v>0.96376236125257797</v>
      </c>
      <c r="L12" s="96">
        <v>1108</v>
      </c>
      <c r="M12" s="101">
        <v>4.1780103922352358</v>
      </c>
      <c r="N12" s="79">
        <v>2009</v>
      </c>
    </row>
    <row r="13" spans="1:15" ht="24.95" customHeight="1" thickBot="1">
      <c r="A13" s="78">
        <v>2010</v>
      </c>
      <c r="B13" s="95">
        <v>820</v>
      </c>
      <c r="C13" s="100">
        <v>11.4</v>
      </c>
      <c r="D13" s="95">
        <v>716</v>
      </c>
      <c r="E13" s="100">
        <v>9.5</v>
      </c>
      <c r="F13" s="95">
        <v>352</v>
      </c>
      <c r="G13" s="100">
        <v>0.3</v>
      </c>
      <c r="H13" s="95">
        <v>456</v>
      </c>
      <c r="I13" s="100">
        <v>2</v>
      </c>
      <c r="J13" s="95">
        <v>1172</v>
      </c>
      <c r="K13" s="100">
        <v>1</v>
      </c>
      <c r="L13" s="95">
        <v>1172</v>
      </c>
      <c r="M13" s="100">
        <v>3.8</v>
      </c>
      <c r="N13" s="77">
        <v>2010</v>
      </c>
    </row>
    <row r="14" spans="1:15" ht="24.95" customHeight="1" thickBot="1">
      <c r="A14" s="81">
        <v>2011</v>
      </c>
      <c r="B14" s="96">
        <v>754</v>
      </c>
      <c r="C14" s="101">
        <v>10</v>
      </c>
      <c r="D14" s="96">
        <v>697</v>
      </c>
      <c r="E14" s="101">
        <v>8.8000000000000007</v>
      </c>
      <c r="F14" s="96">
        <v>354</v>
      </c>
      <c r="G14" s="101">
        <v>0.3</v>
      </c>
      <c r="H14" s="96">
        <v>411</v>
      </c>
      <c r="I14" s="101">
        <v>1.7</v>
      </c>
      <c r="J14" s="96">
        <v>1108</v>
      </c>
      <c r="K14" s="101">
        <v>0.95748937299136794</v>
      </c>
      <c r="L14" s="96">
        <v>1108</v>
      </c>
      <c r="M14" s="101">
        <v>3.475304324370101</v>
      </c>
      <c r="N14" s="79">
        <v>2011</v>
      </c>
    </row>
    <row r="15" spans="1:15" ht="24.95" customHeight="1" thickBot="1">
      <c r="A15" s="78">
        <v>2012</v>
      </c>
      <c r="B15" s="95">
        <v>835</v>
      </c>
      <c r="C15" s="100">
        <v>10.7</v>
      </c>
      <c r="D15" s="95">
        <v>767</v>
      </c>
      <c r="E15" s="100">
        <v>9.3000000000000007</v>
      </c>
      <c r="F15" s="95">
        <v>585</v>
      </c>
      <c r="G15" s="100">
        <v>0.5</v>
      </c>
      <c r="H15" s="95">
        <v>653</v>
      </c>
      <c r="I15" s="100">
        <v>2.5</v>
      </c>
      <c r="J15" s="95">
        <v>1420</v>
      </c>
      <c r="K15" s="100">
        <v>1.2</v>
      </c>
      <c r="L15" s="95">
        <v>1420</v>
      </c>
      <c r="M15" s="100">
        <v>4.0999999999999996</v>
      </c>
      <c r="N15" s="77">
        <v>2012</v>
      </c>
    </row>
    <row r="16" spans="1:15" ht="24.95" customHeight="1" thickBot="1">
      <c r="A16" s="81">
        <v>2013</v>
      </c>
      <c r="B16" s="96">
        <v>816</v>
      </c>
      <c r="C16" s="101">
        <v>10.1</v>
      </c>
      <c r="D16" s="96">
        <v>728</v>
      </c>
      <c r="E16" s="101">
        <v>8.5</v>
      </c>
      <c r="F16" s="96">
        <v>509</v>
      </c>
      <c r="G16" s="101">
        <v>0.4</v>
      </c>
      <c r="H16" s="96">
        <v>597</v>
      </c>
      <c r="I16" s="101">
        <v>2</v>
      </c>
      <c r="J16" s="96">
        <v>1325</v>
      </c>
      <c r="K16" s="101">
        <v>1</v>
      </c>
      <c r="L16" s="96">
        <v>1325</v>
      </c>
      <c r="M16" s="101">
        <v>3.5</v>
      </c>
      <c r="N16" s="79">
        <v>2013</v>
      </c>
    </row>
    <row r="17" spans="1:14" ht="24.95" customHeight="1" thickBot="1">
      <c r="A17" s="78">
        <v>2014</v>
      </c>
      <c r="B17" s="95">
        <v>803</v>
      </c>
      <c r="C17" s="100">
        <v>9.664917432959415</v>
      </c>
      <c r="D17" s="95">
        <v>710</v>
      </c>
      <c r="E17" s="100">
        <v>8.0363105411493052</v>
      </c>
      <c r="F17" s="95">
        <v>512</v>
      </c>
      <c r="G17" s="100">
        <v>0.36468379350919827</v>
      </c>
      <c r="H17" s="95">
        <v>605</v>
      </c>
      <c r="I17" s="100">
        <v>1.8986229491733928</v>
      </c>
      <c r="J17" s="95">
        <v>1315</v>
      </c>
      <c r="K17" s="100">
        <v>0.88430707983645362</v>
      </c>
      <c r="L17" s="95">
        <v>1315</v>
      </c>
      <c r="M17" s="100">
        <v>3.2309502925054239</v>
      </c>
      <c r="N17" s="77">
        <v>2014</v>
      </c>
    </row>
    <row r="18" spans="1:14" ht="24.95" customHeight="1">
      <c r="A18" s="802">
        <v>2015</v>
      </c>
      <c r="B18" s="803">
        <v>807</v>
      </c>
      <c r="C18" s="804">
        <v>9.3944262066075286</v>
      </c>
      <c r="D18" s="803">
        <v>706</v>
      </c>
      <c r="E18" s="804">
        <v>7.881487435390782</v>
      </c>
      <c r="F18" s="803">
        <v>500</v>
      </c>
      <c r="G18" s="804">
        <v>0.3160582229816048</v>
      </c>
      <c r="H18" s="803">
        <v>601</v>
      </c>
      <c r="I18" s="804">
        <v>1.7525493615296459</v>
      </c>
      <c r="J18" s="803">
        <v>1307</v>
      </c>
      <c r="K18" s="804">
        <v>0.78362528921289132</v>
      </c>
      <c r="L18" s="803">
        <v>1307</v>
      </c>
      <c r="M18" s="804">
        <v>3.0219233952823776</v>
      </c>
      <c r="N18" s="805">
        <v>2015</v>
      </c>
    </row>
  </sheetData>
  <mergeCells count="15">
    <mergeCell ref="A1:N1"/>
    <mergeCell ref="A2:N2"/>
    <mergeCell ref="A3:N3"/>
    <mergeCell ref="A4:N4"/>
    <mergeCell ref="F6:I6"/>
    <mergeCell ref="J6:M6"/>
    <mergeCell ref="N6:N8"/>
    <mergeCell ref="B7:C7"/>
    <mergeCell ref="D7:E7"/>
    <mergeCell ref="F7:G7"/>
    <mergeCell ref="H7:I7"/>
    <mergeCell ref="J7:K7"/>
    <mergeCell ref="L7:M7"/>
    <mergeCell ref="A6:A8"/>
    <mergeCell ref="B6:E6"/>
  </mergeCells>
  <printOptions horizontalCentered="1" verticalCentered="1"/>
  <pageMargins left="0" right="0" top="0" bottom="0" header="0" footer="0"/>
  <pageSetup paperSize="9" scale="90" orientation="landscape" r:id="rId1"/>
  <headerFooter alignWithMargins="0"/>
  <colBreaks count="1" manualBreakCount="1">
    <brk id="14"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rightToLeft="1" view="pageBreakPreview" zoomScaleNormal="100" zoomScaleSheetLayoutView="100" workbookViewId="0">
      <selection activeCell="P15" sqref="P15"/>
    </sheetView>
  </sheetViews>
  <sheetFormatPr defaultColWidth="9.140625" defaultRowHeight="12.75"/>
  <cols>
    <col min="1" max="16384" width="9.140625" style="1"/>
  </cols>
  <sheetData>
    <row r="1" ht="37.5" customHeight="1"/>
    <row r="34" spans="1:13" ht="15.75">
      <c r="A34" s="945" t="s">
        <v>482</v>
      </c>
      <c r="B34" s="945"/>
      <c r="C34" s="945"/>
      <c r="D34" s="945"/>
      <c r="E34" s="945"/>
      <c r="F34" s="945"/>
      <c r="G34" s="945"/>
      <c r="H34" s="945"/>
      <c r="I34" s="945"/>
      <c r="J34" s="945"/>
      <c r="K34" s="945"/>
      <c r="L34" s="945"/>
      <c r="M34" s="945"/>
    </row>
  </sheetData>
  <mergeCells count="1">
    <mergeCell ref="A34:M34"/>
  </mergeCells>
  <printOptions horizontalCentered="1" verticalCentered="1"/>
  <pageMargins left="0" right="0" top="0" bottom="0" header="0" footer="0"/>
  <pageSetup paperSize="9" scale="11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rightToLeft="1" view="pageBreakPreview" zoomScaleNormal="100" zoomScaleSheetLayoutView="100" workbookViewId="0">
      <selection activeCell="G15" sqref="G15"/>
    </sheetView>
  </sheetViews>
  <sheetFormatPr defaultColWidth="9.140625" defaultRowHeight="12.75"/>
  <cols>
    <col min="1" max="1" width="18.5703125" style="2" customWidth="1"/>
    <col min="2" max="4" width="27.85546875" style="2" customWidth="1"/>
    <col min="5" max="5" width="19.7109375" style="2" customWidth="1"/>
    <col min="6" max="6" width="19.5703125" style="2" customWidth="1"/>
    <col min="7" max="7" width="23" style="2" customWidth="1"/>
    <col min="8" max="8" width="16" style="2" customWidth="1"/>
    <col min="9" max="16384" width="9.140625" style="2"/>
  </cols>
  <sheetData>
    <row r="1" spans="1:6" ht="18">
      <c r="A1" s="974" t="s">
        <v>1025</v>
      </c>
      <c r="B1" s="974"/>
      <c r="C1" s="974"/>
      <c r="D1" s="974"/>
      <c r="E1" s="974"/>
    </row>
    <row r="2" spans="1:6" ht="36.75" customHeight="1">
      <c r="A2" s="975" t="s">
        <v>1273</v>
      </c>
      <c r="B2" s="975"/>
      <c r="C2" s="975"/>
      <c r="D2" s="975"/>
      <c r="E2" s="975"/>
    </row>
    <row r="3" spans="1:6" ht="15.75">
      <c r="A3" s="959">
        <v>2015</v>
      </c>
      <c r="B3" s="959"/>
      <c r="C3" s="959"/>
      <c r="D3" s="959"/>
      <c r="E3" s="959"/>
    </row>
    <row r="4" spans="1:6" ht="15.75">
      <c r="A4" s="869"/>
      <c r="B4" s="869"/>
      <c r="C4" s="869"/>
      <c r="D4" s="869"/>
      <c r="E4" s="869"/>
    </row>
    <row r="5" spans="1:6" ht="20.25" customHeight="1">
      <c r="A5" s="636" t="s">
        <v>1029</v>
      </c>
      <c r="B5" s="644"/>
      <c r="C5" s="645"/>
      <c r="D5" s="645"/>
      <c r="E5" s="643" t="s">
        <v>1030</v>
      </c>
      <c r="F5" s="94"/>
    </row>
    <row r="6" spans="1:6" ht="33" customHeight="1" thickBot="1">
      <c r="A6" s="970" t="s">
        <v>1020</v>
      </c>
      <c r="B6" s="969" t="s">
        <v>776</v>
      </c>
      <c r="C6" s="969"/>
      <c r="D6" s="969"/>
      <c r="E6" s="972" t="s">
        <v>1026</v>
      </c>
    </row>
    <row r="7" spans="1:6" ht="30.75" customHeight="1">
      <c r="A7" s="977"/>
      <c r="B7" s="765" t="s">
        <v>188</v>
      </c>
      <c r="C7" s="765" t="s">
        <v>187</v>
      </c>
      <c r="D7" s="765" t="s">
        <v>184</v>
      </c>
      <c r="E7" s="978"/>
    </row>
    <row r="8" spans="1:6" ht="21.75" customHeight="1" thickBot="1">
      <c r="A8" s="813" t="s">
        <v>758</v>
      </c>
      <c r="B8" s="809">
        <v>209</v>
      </c>
      <c r="C8" s="809">
        <v>202</v>
      </c>
      <c r="D8" s="815">
        <f>Table_Default__XLS_TAB_65253[[#This Row],[M_QTRI_COUNT]]+Table_Default__XLS_TAB_65253[[#This Row],[M_NQTRI_COUNT]]</f>
        <v>411</v>
      </c>
      <c r="E8" s="816" t="s">
        <v>183</v>
      </c>
    </row>
    <row r="9" spans="1:6" ht="21.75" customHeight="1" thickBot="1">
      <c r="A9" s="806" t="s">
        <v>759</v>
      </c>
      <c r="B9" s="739">
        <v>409</v>
      </c>
      <c r="C9" s="739">
        <v>179</v>
      </c>
      <c r="D9" s="807">
        <f>Table_Default__XLS_TAB_65253[[#This Row],[M_QTRI_COUNT]]+Table_Default__XLS_TAB_65253[[#This Row],[M_NQTRI_COUNT]]</f>
        <v>588</v>
      </c>
      <c r="E9" s="812" t="s">
        <v>182</v>
      </c>
    </row>
    <row r="10" spans="1:6" ht="21.75" customHeight="1" thickBot="1">
      <c r="A10" s="808" t="s">
        <v>760</v>
      </c>
      <c r="B10" s="809">
        <v>42</v>
      </c>
      <c r="C10" s="809">
        <v>42</v>
      </c>
      <c r="D10" s="810">
        <f>Table_Default__XLS_TAB_65253[[#This Row],[M_QTRI_COUNT]]+Table_Default__XLS_TAB_65253[[#This Row],[M_NQTRI_COUNT]]</f>
        <v>84</v>
      </c>
      <c r="E10" s="811" t="s">
        <v>181</v>
      </c>
    </row>
    <row r="11" spans="1:6" ht="21.75" customHeight="1" thickBot="1">
      <c r="A11" s="806" t="s">
        <v>761</v>
      </c>
      <c r="B11" s="739">
        <v>52</v>
      </c>
      <c r="C11" s="739">
        <v>19</v>
      </c>
      <c r="D11" s="807">
        <f>Table_Default__XLS_TAB_65253[[#This Row],[M_QTRI_COUNT]]+Table_Default__XLS_TAB_65253[[#This Row],[M_NQTRI_COUNT]]</f>
        <v>71</v>
      </c>
      <c r="E11" s="812" t="s">
        <v>180</v>
      </c>
    </row>
    <row r="12" spans="1:6" ht="21.75" customHeight="1" thickBot="1">
      <c r="A12" s="808" t="s">
        <v>762</v>
      </c>
      <c r="B12" s="809">
        <v>20</v>
      </c>
      <c r="C12" s="809">
        <v>10</v>
      </c>
      <c r="D12" s="810">
        <f>Table_Default__XLS_TAB_65253[[#This Row],[M_QTRI_COUNT]]+Table_Default__XLS_TAB_65253[[#This Row],[M_NQTRI_COUNT]]</f>
        <v>30</v>
      </c>
      <c r="E12" s="811" t="s">
        <v>179</v>
      </c>
    </row>
    <row r="13" spans="1:6" ht="21.75" customHeight="1" thickBot="1">
      <c r="A13" s="806" t="s">
        <v>763</v>
      </c>
      <c r="B13" s="739">
        <v>3</v>
      </c>
      <c r="C13" s="739">
        <v>2</v>
      </c>
      <c r="D13" s="807">
        <f>Table_Default__XLS_TAB_65253[[#This Row],[M_QTRI_COUNT]]+Table_Default__XLS_TAB_65253[[#This Row],[M_NQTRI_COUNT]]</f>
        <v>5</v>
      </c>
      <c r="E13" s="812" t="s">
        <v>178</v>
      </c>
    </row>
    <row r="14" spans="1:6" ht="21.75" customHeight="1" thickBot="1">
      <c r="A14" s="808" t="s">
        <v>964</v>
      </c>
      <c r="B14" s="809">
        <v>14</v>
      </c>
      <c r="C14" s="809">
        <v>3</v>
      </c>
      <c r="D14" s="810">
        <f>Table_Default__XLS_TAB_65253[[#This Row],[M_QTRI_COUNT]]+Table_Default__XLS_TAB_65253[[#This Row],[M_NQTRI_COUNT]]</f>
        <v>17</v>
      </c>
      <c r="E14" s="811" t="s">
        <v>177</v>
      </c>
    </row>
    <row r="15" spans="1:6" ht="21.75" customHeight="1" thickBot="1">
      <c r="A15" s="806" t="s">
        <v>1271</v>
      </c>
      <c r="B15" s="739">
        <v>57</v>
      </c>
      <c r="C15" s="739">
        <v>7</v>
      </c>
      <c r="D15" s="807">
        <f>Table_Default__XLS_TAB_65253[[#This Row],[M_QTRI_COUNT]]+Table_Default__XLS_TAB_65253[[#This Row],[M_NQTRI_COUNT]]</f>
        <v>64</v>
      </c>
      <c r="E15" s="812" t="s">
        <v>1272</v>
      </c>
    </row>
    <row r="16" spans="1:6" ht="21.75" customHeight="1">
      <c r="A16" s="870" t="s">
        <v>764</v>
      </c>
      <c r="B16" s="871">
        <v>1</v>
      </c>
      <c r="C16" s="871">
        <v>36</v>
      </c>
      <c r="D16" s="872">
        <f>Table_Default__XLS_TAB_65253[[#This Row],[M_QTRI_COUNT]]+Table_Default__XLS_TAB_65253[[#This Row],[M_NQTRI_COUNT]]</f>
        <v>37</v>
      </c>
      <c r="E16" s="873" t="s">
        <v>745</v>
      </c>
    </row>
    <row r="17" spans="1:5" ht="21.75" customHeight="1">
      <c r="A17" s="874" t="s">
        <v>21</v>
      </c>
      <c r="B17" s="746">
        <f>SUBTOTAL(109,Table_Default__XLS_TAB_65253[M_QTRI_COUNT])</f>
        <v>807</v>
      </c>
      <c r="C17" s="746">
        <f>SUBTOTAL(109,Table_Default__XLS_TAB_65253[M_NQTRI_COUNT])</f>
        <v>500</v>
      </c>
      <c r="D17" s="746">
        <f>SUBTOTAL(109,Table_Default__XLS_TAB_65253[M_QTRI_TOT_COUNT])</f>
        <v>1307</v>
      </c>
      <c r="E17" s="875" t="s">
        <v>176</v>
      </c>
    </row>
    <row r="18" spans="1:5" ht="21.75" customHeight="1"/>
  </sheetData>
  <mergeCells count="6">
    <mergeCell ref="A1:E1"/>
    <mergeCell ref="A2:E2"/>
    <mergeCell ref="A3:E3"/>
    <mergeCell ref="A6:A7"/>
    <mergeCell ref="B6:D6"/>
    <mergeCell ref="E6:E7"/>
  </mergeCells>
  <printOptions horizontalCentered="1" verticalCentered="1"/>
  <pageMargins left="0" right="0" top="0" bottom="0" header="0" footer="0"/>
  <pageSetup paperSize="9" orientation="landscape" horizontalDpi="4294967295" verticalDpi="4294967295" r:id="rId1"/>
  <headerFooter alignWithMargins="0"/>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rightToLeft="1" view="pageBreakPreview" zoomScaleNormal="100" zoomScaleSheetLayoutView="100" workbookViewId="0">
      <selection activeCell="F4" sqref="F4"/>
    </sheetView>
  </sheetViews>
  <sheetFormatPr defaultColWidth="9.140625" defaultRowHeight="12.75"/>
  <cols>
    <col min="1" max="1" width="40.7109375" style="1" customWidth="1"/>
    <col min="2" max="2" width="3.7109375" style="1" customWidth="1"/>
    <col min="3" max="3" width="40.7109375" style="1" customWidth="1"/>
    <col min="4" max="16384" width="9.140625" style="1"/>
  </cols>
  <sheetData>
    <row r="1" spans="1:3" ht="66.75" customHeight="1">
      <c r="A1" s="34" t="s">
        <v>29</v>
      </c>
      <c r="C1" s="33" t="s">
        <v>28</v>
      </c>
    </row>
    <row r="2" spans="1:3" ht="25.5" customHeight="1">
      <c r="A2" s="51"/>
      <c r="B2" s="35"/>
      <c r="C2" s="35"/>
    </row>
    <row r="3" spans="1:3" ht="206.25" customHeight="1">
      <c r="A3" s="62" t="s">
        <v>960</v>
      </c>
      <c r="B3" s="28"/>
      <c r="C3" s="31" t="s">
        <v>961</v>
      </c>
    </row>
    <row r="4" spans="1:3" ht="8.25" customHeight="1">
      <c r="A4" s="32"/>
      <c r="B4" s="30"/>
      <c r="C4" s="31"/>
    </row>
    <row r="5" spans="1:3" ht="60" customHeight="1">
      <c r="A5" s="32" t="s">
        <v>963</v>
      </c>
      <c r="B5" s="30"/>
      <c r="C5" s="31" t="s">
        <v>966</v>
      </c>
    </row>
  </sheetData>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rightToLeft="1" view="pageBreakPreview" zoomScaleNormal="100" zoomScaleSheetLayoutView="100" workbookViewId="0">
      <selection activeCell="G15" sqref="G15"/>
    </sheetView>
  </sheetViews>
  <sheetFormatPr defaultColWidth="9.140625" defaultRowHeight="12.75"/>
  <cols>
    <col min="1" max="1" width="18.5703125" style="2" customWidth="1"/>
    <col min="2" max="4" width="27.85546875" style="2" customWidth="1"/>
    <col min="5" max="5" width="19.7109375" style="2" customWidth="1"/>
    <col min="6" max="6" width="19.5703125" style="2" customWidth="1"/>
    <col min="7" max="7" width="23" style="2" customWidth="1"/>
    <col min="8" max="8" width="16" style="2" customWidth="1"/>
    <col min="9" max="16384" width="9.140625" style="2"/>
  </cols>
  <sheetData>
    <row r="1" spans="1:6" ht="18">
      <c r="A1" s="974" t="s">
        <v>1027</v>
      </c>
      <c r="B1" s="974"/>
      <c r="C1" s="974"/>
      <c r="D1" s="974"/>
      <c r="E1" s="974"/>
    </row>
    <row r="2" spans="1:6" ht="36.75" customHeight="1">
      <c r="A2" s="975" t="s">
        <v>1274</v>
      </c>
      <c r="B2" s="975"/>
      <c r="C2" s="975"/>
      <c r="D2" s="975"/>
      <c r="E2" s="975"/>
    </row>
    <row r="3" spans="1:6" ht="15.75">
      <c r="A3" s="959">
        <v>2015</v>
      </c>
      <c r="B3" s="959"/>
      <c r="C3" s="959"/>
      <c r="D3" s="959"/>
      <c r="E3" s="959"/>
    </row>
    <row r="4" spans="1:6" ht="15.75">
      <c r="A4" s="869"/>
      <c r="B4" s="869"/>
      <c r="C4" s="869"/>
      <c r="D4" s="869"/>
      <c r="E4" s="869"/>
    </row>
    <row r="5" spans="1:6" ht="20.25" customHeight="1">
      <c r="A5" s="636" t="s">
        <v>1032</v>
      </c>
      <c r="B5" s="644"/>
      <c r="C5" s="645"/>
      <c r="D5" s="645"/>
      <c r="E5" s="643" t="s">
        <v>1031</v>
      </c>
      <c r="F5" s="94"/>
    </row>
    <row r="6" spans="1:6" ht="33" customHeight="1" thickBot="1">
      <c r="A6" s="970" t="s">
        <v>1023</v>
      </c>
      <c r="B6" s="969" t="s">
        <v>777</v>
      </c>
      <c r="C6" s="969"/>
      <c r="D6" s="969"/>
      <c r="E6" s="972" t="s">
        <v>1028</v>
      </c>
    </row>
    <row r="7" spans="1:6" ht="30.75" customHeight="1">
      <c r="A7" s="977"/>
      <c r="B7" s="765" t="s">
        <v>1044</v>
      </c>
      <c r="C7" s="765" t="s">
        <v>185</v>
      </c>
      <c r="D7" s="765" t="s">
        <v>184</v>
      </c>
      <c r="E7" s="978"/>
    </row>
    <row r="8" spans="1:6" ht="21.75" customHeight="1" thickBot="1">
      <c r="A8" s="813" t="s">
        <v>758</v>
      </c>
      <c r="B8" s="809">
        <v>171</v>
      </c>
      <c r="C8" s="809">
        <v>182</v>
      </c>
      <c r="D8" s="815">
        <f>Table_Default__XLS_TAB_6525389[[#This Row],[M_QTRI_COUNT]]+Table_Default__XLS_TAB_6525389[[#This Row],[M_NQTRI_COUNT]]</f>
        <v>353</v>
      </c>
      <c r="E8" s="816" t="s">
        <v>183</v>
      </c>
    </row>
    <row r="9" spans="1:6" ht="21.75" customHeight="1" thickBot="1">
      <c r="A9" s="806" t="s">
        <v>759</v>
      </c>
      <c r="B9" s="739">
        <v>362</v>
      </c>
      <c r="C9" s="739">
        <v>181</v>
      </c>
      <c r="D9" s="807">
        <f>Table_Default__XLS_TAB_6525389[[#This Row],[M_QTRI_COUNT]]+Table_Default__XLS_TAB_6525389[[#This Row],[M_NQTRI_COUNT]]</f>
        <v>543</v>
      </c>
      <c r="E9" s="812" t="s">
        <v>182</v>
      </c>
    </row>
    <row r="10" spans="1:6" ht="21.75" customHeight="1" thickBot="1">
      <c r="A10" s="808" t="s">
        <v>760</v>
      </c>
      <c r="B10" s="809">
        <v>38</v>
      </c>
      <c r="C10" s="809">
        <v>31</v>
      </c>
      <c r="D10" s="810">
        <f>Table_Default__XLS_TAB_6525389[[#This Row],[M_QTRI_COUNT]]+Table_Default__XLS_TAB_6525389[[#This Row],[M_NQTRI_COUNT]]</f>
        <v>69</v>
      </c>
      <c r="E10" s="811" t="s">
        <v>181</v>
      </c>
    </row>
    <row r="11" spans="1:6" ht="21.75" customHeight="1" thickBot="1">
      <c r="A11" s="806" t="s">
        <v>761</v>
      </c>
      <c r="B11" s="739">
        <v>44</v>
      </c>
      <c r="C11" s="739">
        <v>22</v>
      </c>
      <c r="D11" s="807">
        <f>Table_Default__XLS_TAB_6525389[[#This Row],[M_QTRI_COUNT]]+Table_Default__XLS_TAB_6525389[[#This Row],[M_NQTRI_COUNT]]</f>
        <v>66</v>
      </c>
      <c r="E11" s="812" t="s">
        <v>180</v>
      </c>
    </row>
    <row r="12" spans="1:6" ht="21.75" customHeight="1" thickBot="1">
      <c r="A12" s="808" t="s">
        <v>762</v>
      </c>
      <c r="B12" s="809">
        <v>20</v>
      </c>
      <c r="C12" s="809">
        <v>9</v>
      </c>
      <c r="D12" s="810">
        <f>Table_Default__XLS_TAB_6525389[[#This Row],[M_QTRI_COUNT]]+Table_Default__XLS_TAB_6525389[[#This Row],[M_NQTRI_COUNT]]</f>
        <v>29</v>
      </c>
      <c r="E12" s="811" t="s">
        <v>179</v>
      </c>
    </row>
    <row r="13" spans="1:6" ht="21.75" customHeight="1" thickBot="1">
      <c r="A13" s="806" t="s">
        <v>763</v>
      </c>
      <c r="B13" s="739">
        <v>6</v>
      </c>
      <c r="C13" s="739">
        <v>1</v>
      </c>
      <c r="D13" s="807">
        <f>Table_Default__XLS_TAB_6525389[[#This Row],[M_QTRI_COUNT]]+Table_Default__XLS_TAB_6525389[[#This Row],[M_NQTRI_COUNT]]</f>
        <v>7</v>
      </c>
      <c r="E13" s="812" t="s">
        <v>178</v>
      </c>
    </row>
    <row r="14" spans="1:6" ht="21.75" customHeight="1" thickBot="1">
      <c r="A14" s="808" t="s">
        <v>964</v>
      </c>
      <c r="B14" s="809">
        <v>17</v>
      </c>
      <c r="C14" s="809">
        <v>5</v>
      </c>
      <c r="D14" s="810">
        <f>Table_Default__XLS_TAB_6525389[[#This Row],[M_QTRI_COUNT]]+Table_Default__XLS_TAB_6525389[[#This Row],[M_NQTRI_COUNT]]</f>
        <v>22</v>
      </c>
      <c r="E14" s="811" t="s">
        <v>177</v>
      </c>
    </row>
    <row r="15" spans="1:6" ht="21.75" customHeight="1" thickBot="1">
      <c r="A15" s="806" t="s">
        <v>1271</v>
      </c>
      <c r="B15" s="739">
        <v>47</v>
      </c>
      <c r="C15" s="739">
        <v>7</v>
      </c>
      <c r="D15" s="807">
        <f>Table_Default__XLS_TAB_6525389[[#This Row],[M_QTRI_COUNT]]+Table_Default__XLS_TAB_6525389[[#This Row],[M_NQTRI_COUNT]]</f>
        <v>54</v>
      </c>
      <c r="E15" s="812" t="s">
        <v>1272</v>
      </c>
    </row>
    <row r="16" spans="1:6" ht="21.75" customHeight="1">
      <c r="A16" s="870" t="s">
        <v>764</v>
      </c>
      <c r="B16" s="871">
        <v>1</v>
      </c>
      <c r="C16" s="871">
        <v>163</v>
      </c>
      <c r="D16" s="872">
        <f>Table_Default__XLS_TAB_6525389[[#This Row],[M_QTRI_COUNT]]+Table_Default__XLS_TAB_6525389[[#This Row],[M_NQTRI_COUNT]]</f>
        <v>164</v>
      </c>
      <c r="E16" s="873" t="s">
        <v>745</v>
      </c>
    </row>
    <row r="17" spans="1:5" ht="21.75" customHeight="1">
      <c r="A17" s="874" t="s">
        <v>21</v>
      </c>
      <c r="B17" s="746">
        <f>SUBTOTAL(109,Table_Default__XLS_TAB_6525389[M_QTRI_COUNT])</f>
        <v>706</v>
      </c>
      <c r="C17" s="746">
        <f>SUBTOTAL(109,Table_Default__XLS_TAB_6525389[M_NQTRI_COUNT])</f>
        <v>601</v>
      </c>
      <c r="D17" s="746">
        <f>SUBTOTAL(109,Table_Default__XLS_TAB_6525389[M_QTRI_TOT_COUNT])</f>
        <v>1307</v>
      </c>
      <c r="E17" s="875" t="s">
        <v>176</v>
      </c>
    </row>
    <row r="18" spans="1:5" ht="21.75" customHeight="1"/>
  </sheetData>
  <mergeCells count="6">
    <mergeCell ref="A1:E1"/>
    <mergeCell ref="A2:E2"/>
    <mergeCell ref="A3:E3"/>
    <mergeCell ref="A6:A7"/>
    <mergeCell ref="B6:D6"/>
    <mergeCell ref="E6:E7"/>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9:K59"/>
  <sheetViews>
    <sheetView rightToLeft="1" view="pageBreakPreview" zoomScaleNormal="100" zoomScaleSheetLayoutView="100" workbookViewId="0">
      <selection activeCell="N17" sqref="N17"/>
    </sheetView>
  </sheetViews>
  <sheetFormatPr defaultColWidth="9.140625" defaultRowHeight="12.75"/>
  <cols>
    <col min="1" max="10" width="9.140625" style="1"/>
    <col min="11" max="11" width="10.5703125" style="1" customWidth="1"/>
    <col min="12" max="16384" width="9.140625" style="1"/>
  </cols>
  <sheetData>
    <row r="59" spans="1:11">
      <c r="A59" s="945" t="s">
        <v>484</v>
      </c>
      <c r="B59" s="976"/>
      <c r="C59" s="976"/>
      <c r="D59" s="976"/>
      <c r="E59" s="976"/>
      <c r="F59" s="976"/>
      <c r="G59" s="976"/>
      <c r="H59" s="976"/>
      <c r="I59" s="976"/>
      <c r="J59" s="976"/>
      <c r="K59" s="976"/>
    </row>
  </sheetData>
  <mergeCells count="1">
    <mergeCell ref="A59:K59"/>
  </mergeCells>
  <printOptions horizontalCentered="1" verticalCentered="1"/>
  <pageMargins left="0" right="0" top="0.19685039370078741" bottom="0" header="0" footer="0"/>
  <pageSetup scale="95"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rightToLeft="1" view="pageBreakPreview" zoomScaleNormal="100" zoomScaleSheetLayoutView="100" workbookViewId="0">
      <selection activeCell="E12" sqref="E12"/>
    </sheetView>
  </sheetViews>
  <sheetFormatPr defaultColWidth="9.140625" defaultRowHeight="12.75"/>
  <cols>
    <col min="1" max="1" width="17.85546875" style="1" customWidth="1"/>
    <col min="2" max="6" width="13.7109375" style="1" customWidth="1"/>
    <col min="7" max="7" width="11.7109375" style="1" customWidth="1"/>
    <col min="8" max="8" width="20.7109375" style="1" customWidth="1"/>
    <col min="9" max="16384" width="9.140625" style="1"/>
  </cols>
  <sheetData>
    <row r="1" spans="1:9" ht="18">
      <c r="A1" s="934" t="s">
        <v>501</v>
      </c>
      <c r="B1" s="934"/>
      <c r="C1" s="934"/>
      <c r="D1" s="934"/>
      <c r="E1" s="934"/>
      <c r="F1" s="934"/>
      <c r="G1" s="934"/>
      <c r="H1" s="934"/>
    </row>
    <row r="2" spans="1:9" ht="36" customHeight="1">
      <c r="A2" s="958" t="s">
        <v>500</v>
      </c>
      <c r="B2" s="958"/>
      <c r="C2" s="958"/>
      <c r="D2" s="958"/>
      <c r="E2" s="958"/>
      <c r="F2" s="958"/>
      <c r="G2" s="958"/>
      <c r="H2" s="958"/>
    </row>
    <row r="3" spans="1:9" ht="15.75">
      <c r="A3" s="959">
        <v>2015</v>
      </c>
      <c r="B3" s="959"/>
      <c r="C3" s="959"/>
      <c r="D3" s="959"/>
      <c r="E3" s="959"/>
      <c r="F3" s="959"/>
      <c r="G3" s="959"/>
      <c r="H3" s="959"/>
    </row>
    <row r="4" spans="1:9" ht="15.75">
      <c r="A4" s="635"/>
      <c r="B4" s="635"/>
      <c r="C4" s="635"/>
      <c r="D4" s="635"/>
      <c r="E4" s="635"/>
      <c r="F4" s="635"/>
      <c r="G4" s="635"/>
      <c r="H4" s="635"/>
    </row>
    <row r="5" spans="1:9" s="93" customFormat="1" ht="20.25" customHeight="1">
      <c r="A5" s="636" t="s">
        <v>627</v>
      </c>
      <c r="B5" s="637"/>
      <c r="C5" s="638"/>
      <c r="D5" s="638"/>
      <c r="E5" s="638"/>
      <c r="F5" s="638"/>
      <c r="G5" s="643"/>
      <c r="H5" s="643" t="s">
        <v>628</v>
      </c>
      <c r="I5" s="94"/>
    </row>
    <row r="6" spans="1:9" ht="30.75" customHeight="1" thickBot="1">
      <c r="A6" s="937" t="s">
        <v>218</v>
      </c>
      <c r="B6" s="1026" t="s">
        <v>776</v>
      </c>
      <c r="C6" s="1026"/>
      <c r="D6" s="1026"/>
      <c r="E6" s="1026" t="s">
        <v>777</v>
      </c>
      <c r="F6" s="1026"/>
      <c r="G6" s="1026"/>
      <c r="H6" s="942" t="s">
        <v>217</v>
      </c>
    </row>
    <row r="7" spans="1:9" ht="30.75" customHeight="1">
      <c r="A7" s="979"/>
      <c r="B7" s="576" t="s">
        <v>188</v>
      </c>
      <c r="C7" s="576" t="s">
        <v>187</v>
      </c>
      <c r="D7" s="576" t="s">
        <v>184</v>
      </c>
      <c r="E7" s="576" t="s">
        <v>186</v>
      </c>
      <c r="F7" s="576" t="s">
        <v>185</v>
      </c>
      <c r="G7" s="576" t="s">
        <v>184</v>
      </c>
      <c r="H7" s="982"/>
    </row>
    <row r="8" spans="1:9" ht="21.75" customHeight="1" thickBot="1">
      <c r="A8" s="258" t="s">
        <v>216</v>
      </c>
      <c r="B8" s="362">
        <v>66</v>
      </c>
      <c r="C8" s="362">
        <v>56</v>
      </c>
      <c r="D8" s="355">
        <v>122</v>
      </c>
      <c r="E8" s="362">
        <v>56</v>
      </c>
      <c r="F8" s="362">
        <v>66</v>
      </c>
      <c r="G8" s="355">
        <v>122</v>
      </c>
      <c r="H8" s="259" t="s">
        <v>215</v>
      </c>
    </row>
    <row r="9" spans="1:9" ht="21.75" customHeight="1" thickBot="1">
      <c r="A9" s="108" t="s">
        <v>214</v>
      </c>
      <c r="B9" s="95">
        <v>67</v>
      </c>
      <c r="C9" s="95">
        <v>39</v>
      </c>
      <c r="D9" s="356">
        <v>106</v>
      </c>
      <c r="E9" s="95">
        <v>56</v>
      </c>
      <c r="F9" s="95">
        <v>50</v>
      </c>
      <c r="G9" s="356">
        <v>106</v>
      </c>
      <c r="H9" s="107" t="s">
        <v>213</v>
      </c>
    </row>
    <row r="10" spans="1:9" ht="21.75" customHeight="1" thickBot="1">
      <c r="A10" s="260" t="s">
        <v>212</v>
      </c>
      <c r="B10" s="95">
        <v>72</v>
      </c>
      <c r="C10" s="95">
        <v>33</v>
      </c>
      <c r="D10" s="356">
        <v>105</v>
      </c>
      <c r="E10" s="95">
        <v>63</v>
      </c>
      <c r="F10" s="95">
        <v>42</v>
      </c>
      <c r="G10" s="356">
        <v>105</v>
      </c>
      <c r="H10" s="106" t="s">
        <v>211</v>
      </c>
    </row>
    <row r="11" spans="1:9" ht="21.75" customHeight="1" thickBot="1">
      <c r="A11" s="108" t="s">
        <v>210</v>
      </c>
      <c r="B11" s="95">
        <v>74</v>
      </c>
      <c r="C11" s="95">
        <v>57</v>
      </c>
      <c r="D11" s="356">
        <v>131</v>
      </c>
      <c r="E11" s="95">
        <v>68</v>
      </c>
      <c r="F11" s="95">
        <v>63</v>
      </c>
      <c r="G11" s="356">
        <v>131</v>
      </c>
      <c r="H11" s="107" t="s">
        <v>209</v>
      </c>
    </row>
    <row r="12" spans="1:9" ht="21.75" customHeight="1" thickBot="1">
      <c r="A12" s="260" t="s">
        <v>208</v>
      </c>
      <c r="B12" s="95">
        <v>82</v>
      </c>
      <c r="C12" s="95">
        <v>58</v>
      </c>
      <c r="D12" s="356">
        <v>140</v>
      </c>
      <c r="E12" s="95">
        <v>74</v>
      </c>
      <c r="F12" s="95">
        <v>66</v>
      </c>
      <c r="G12" s="356">
        <v>140</v>
      </c>
      <c r="H12" s="106" t="s">
        <v>207</v>
      </c>
    </row>
    <row r="13" spans="1:9" ht="21.75" customHeight="1" thickBot="1">
      <c r="A13" s="108" t="s">
        <v>206</v>
      </c>
      <c r="B13" s="95">
        <v>69</v>
      </c>
      <c r="C13" s="95">
        <v>39</v>
      </c>
      <c r="D13" s="356">
        <v>108</v>
      </c>
      <c r="E13" s="95">
        <v>63</v>
      </c>
      <c r="F13" s="95">
        <v>45</v>
      </c>
      <c r="G13" s="356">
        <v>108</v>
      </c>
      <c r="H13" s="107" t="s">
        <v>205</v>
      </c>
    </row>
    <row r="14" spans="1:9" ht="21.75" customHeight="1" thickBot="1">
      <c r="A14" s="260" t="s">
        <v>204</v>
      </c>
      <c r="B14" s="95">
        <v>32</v>
      </c>
      <c r="C14" s="95">
        <v>16</v>
      </c>
      <c r="D14" s="356">
        <v>48</v>
      </c>
      <c r="E14" s="95">
        <v>29</v>
      </c>
      <c r="F14" s="95">
        <v>19</v>
      </c>
      <c r="G14" s="356">
        <v>48</v>
      </c>
      <c r="H14" s="106" t="s">
        <v>203</v>
      </c>
    </row>
    <row r="15" spans="1:9" ht="21.75" customHeight="1" thickBot="1">
      <c r="A15" s="108" t="s">
        <v>202</v>
      </c>
      <c r="B15" s="95">
        <v>85</v>
      </c>
      <c r="C15" s="95">
        <v>49</v>
      </c>
      <c r="D15" s="356">
        <v>134</v>
      </c>
      <c r="E15" s="95">
        <v>70</v>
      </c>
      <c r="F15" s="95">
        <v>64</v>
      </c>
      <c r="G15" s="356">
        <v>134</v>
      </c>
      <c r="H15" s="107" t="s">
        <v>201</v>
      </c>
    </row>
    <row r="16" spans="1:9" ht="21.75" customHeight="1" thickBot="1">
      <c r="A16" s="260" t="s">
        <v>200</v>
      </c>
      <c r="B16" s="95">
        <v>52</v>
      </c>
      <c r="C16" s="95">
        <v>24</v>
      </c>
      <c r="D16" s="356">
        <v>76</v>
      </c>
      <c r="E16" s="95">
        <v>46</v>
      </c>
      <c r="F16" s="95">
        <v>30</v>
      </c>
      <c r="G16" s="356">
        <v>76</v>
      </c>
      <c r="H16" s="106" t="s">
        <v>199</v>
      </c>
    </row>
    <row r="17" spans="1:8" ht="21.75" customHeight="1" thickBot="1">
      <c r="A17" s="108" t="s">
        <v>198</v>
      </c>
      <c r="B17" s="95">
        <v>76</v>
      </c>
      <c r="C17" s="95">
        <v>40</v>
      </c>
      <c r="D17" s="356">
        <v>116</v>
      </c>
      <c r="E17" s="95">
        <v>67</v>
      </c>
      <c r="F17" s="95">
        <v>49</v>
      </c>
      <c r="G17" s="356">
        <v>116</v>
      </c>
      <c r="H17" s="107" t="s">
        <v>197</v>
      </c>
    </row>
    <row r="18" spans="1:8" ht="21.75" customHeight="1" thickBot="1">
      <c r="A18" s="260" t="s">
        <v>196</v>
      </c>
      <c r="B18" s="95">
        <v>70</v>
      </c>
      <c r="C18" s="95">
        <v>40</v>
      </c>
      <c r="D18" s="356">
        <v>110</v>
      </c>
      <c r="E18" s="95">
        <v>63</v>
      </c>
      <c r="F18" s="95">
        <v>47</v>
      </c>
      <c r="G18" s="356">
        <v>110</v>
      </c>
      <c r="H18" s="106" t="s">
        <v>195</v>
      </c>
    </row>
    <row r="19" spans="1:8" ht="21.75" customHeight="1">
      <c r="A19" s="357" t="s">
        <v>194</v>
      </c>
      <c r="B19" s="363">
        <v>62</v>
      </c>
      <c r="C19" s="363">
        <v>49</v>
      </c>
      <c r="D19" s="358">
        <v>111</v>
      </c>
      <c r="E19" s="363">
        <v>51</v>
      </c>
      <c r="F19" s="363">
        <v>60</v>
      </c>
      <c r="G19" s="358">
        <v>111</v>
      </c>
      <c r="H19" s="359" t="s">
        <v>193</v>
      </c>
    </row>
    <row r="20" spans="1:8" ht="22.5" customHeight="1">
      <c r="A20" s="184" t="s">
        <v>21</v>
      </c>
      <c r="B20" s="188">
        <f t="shared" ref="B20:G20" si="0">SUM(B8:B19)</f>
        <v>807</v>
      </c>
      <c r="C20" s="188">
        <f t="shared" si="0"/>
        <v>500</v>
      </c>
      <c r="D20" s="189">
        <f t="shared" si="0"/>
        <v>1307</v>
      </c>
      <c r="E20" s="188">
        <f t="shared" si="0"/>
        <v>706</v>
      </c>
      <c r="F20" s="188">
        <f t="shared" si="0"/>
        <v>601</v>
      </c>
      <c r="G20" s="189">
        <f t="shared" si="0"/>
        <v>1307</v>
      </c>
      <c r="H20" s="173" t="s">
        <v>176</v>
      </c>
    </row>
    <row r="26" spans="1:8">
      <c r="A26" s="1" t="s">
        <v>218</v>
      </c>
      <c r="B26" s="1" t="s">
        <v>498</v>
      </c>
      <c r="C26" s="1" t="s">
        <v>497</v>
      </c>
    </row>
    <row r="27" spans="1:8">
      <c r="A27" s="1" t="s">
        <v>496</v>
      </c>
      <c r="B27" s="182">
        <f>C8</f>
        <v>56</v>
      </c>
      <c r="C27" s="182">
        <f>B8</f>
        <v>66</v>
      </c>
    </row>
    <row r="28" spans="1:8">
      <c r="A28" s="1" t="s">
        <v>495</v>
      </c>
      <c r="B28" s="1">
        <f t="shared" ref="B28:B38" si="1">C9</f>
        <v>39</v>
      </c>
      <c r="C28" s="1">
        <f t="shared" ref="C28:C38" si="2">B9</f>
        <v>67</v>
      </c>
    </row>
    <row r="29" spans="1:8">
      <c r="A29" s="1" t="s">
        <v>494</v>
      </c>
      <c r="B29" s="1">
        <f t="shared" si="1"/>
        <v>33</v>
      </c>
      <c r="C29" s="1">
        <f t="shared" si="2"/>
        <v>72</v>
      </c>
    </row>
    <row r="30" spans="1:8">
      <c r="A30" s="1" t="s">
        <v>493</v>
      </c>
      <c r="B30" s="1">
        <f t="shared" si="1"/>
        <v>57</v>
      </c>
      <c r="C30" s="1">
        <f t="shared" si="2"/>
        <v>74</v>
      </c>
    </row>
    <row r="31" spans="1:8">
      <c r="A31" s="1" t="s">
        <v>492</v>
      </c>
      <c r="B31" s="1">
        <f t="shared" si="1"/>
        <v>58</v>
      </c>
      <c r="C31" s="1">
        <f t="shared" si="2"/>
        <v>82</v>
      </c>
    </row>
    <row r="32" spans="1:8">
      <c r="A32" s="1" t="s">
        <v>491</v>
      </c>
      <c r="B32" s="1">
        <f t="shared" si="1"/>
        <v>39</v>
      </c>
      <c r="C32" s="1">
        <f t="shared" si="2"/>
        <v>69</v>
      </c>
    </row>
    <row r="33" spans="1:3">
      <c r="A33" s="1" t="s">
        <v>490</v>
      </c>
      <c r="B33" s="1">
        <f t="shared" si="1"/>
        <v>16</v>
      </c>
      <c r="C33" s="1">
        <f t="shared" si="2"/>
        <v>32</v>
      </c>
    </row>
    <row r="34" spans="1:3">
      <c r="A34" s="1" t="s">
        <v>489</v>
      </c>
      <c r="B34" s="1">
        <f t="shared" si="1"/>
        <v>49</v>
      </c>
      <c r="C34" s="1">
        <f t="shared" si="2"/>
        <v>85</v>
      </c>
    </row>
    <row r="35" spans="1:3">
      <c r="A35" s="1" t="s">
        <v>488</v>
      </c>
      <c r="B35" s="1">
        <f t="shared" si="1"/>
        <v>24</v>
      </c>
      <c r="C35" s="1">
        <f t="shared" si="2"/>
        <v>52</v>
      </c>
    </row>
    <row r="36" spans="1:3">
      <c r="A36" s="1" t="s">
        <v>487</v>
      </c>
      <c r="B36" s="1">
        <f t="shared" si="1"/>
        <v>40</v>
      </c>
      <c r="C36" s="1">
        <f t="shared" si="2"/>
        <v>76</v>
      </c>
    </row>
    <row r="37" spans="1:3">
      <c r="A37" s="1" t="s">
        <v>486</v>
      </c>
      <c r="B37" s="1">
        <f t="shared" si="1"/>
        <v>40</v>
      </c>
      <c r="C37" s="1">
        <f t="shared" si="2"/>
        <v>70</v>
      </c>
    </row>
    <row r="38" spans="1:3">
      <c r="A38" s="1" t="s">
        <v>485</v>
      </c>
      <c r="B38" s="1">
        <f t="shared" si="1"/>
        <v>49</v>
      </c>
      <c r="C38" s="1">
        <f t="shared" si="2"/>
        <v>62</v>
      </c>
    </row>
  </sheetData>
  <mergeCells count="7">
    <mergeCell ref="H6:H7"/>
    <mergeCell ref="A1:H1"/>
    <mergeCell ref="A2:H2"/>
    <mergeCell ref="A3:H3"/>
    <mergeCell ref="A6:A7"/>
    <mergeCell ref="B6:D6"/>
    <mergeCell ref="E6:G6"/>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rightToLeft="1" view="pageBreakPreview" zoomScaleNormal="100" zoomScaleSheetLayoutView="100" workbookViewId="0">
      <selection activeCell="R19" sqref="R19"/>
    </sheetView>
  </sheetViews>
  <sheetFormatPr defaultColWidth="9.140625" defaultRowHeight="12.75"/>
  <cols>
    <col min="1" max="16384" width="9.140625" style="1"/>
  </cols>
  <sheetData>
    <row r="1" ht="52.5" customHeight="1"/>
    <row r="37" spans="1:14" ht="15.75">
      <c r="A37" s="945" t="s">
        <v>502</v>
      </c>
      <c r="B37" s="945"/>
      <c r="C37" s="945"/>
      <c r="D37" s="945"/>
      <c r="E37" s="945"/>
      <c r="F37" s="945"/>
      <c r="G37" s="945"/>
      <c r="H37" s="945"/>
      <c r="I37" s="945"/>
      <c r="J37" s="945"/>
      <c r="K37" s="945"/>
      <c r="L37" s="945"/>
      <c r="M37" s="945"/>
      <c r="N37" s="945"/>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rightToLeft="1" view="pageBreakPreview" zoomScaleNormal="100" zoomScaleSheetLayoutView="100" workbookViewId="0">
      <selection activeCell="D18" sqref="D18"/>
    </sheetView>
  </sheetViews>
  <sheetFormatPr defaultColWidth="9.140625" defaultRowHeight="12.75"/>
  <cols>
    <col min="1" max="1" width="24.5703125" style="1" customWidth="1"/>
    <col min="2" max="5" width="14.140625" style="1" customWidth="1"/>
    <col min="6" max="6" width="10.85546875" style="1" customWidth="1"/>
    <col min="7" max="7" width="10.7109375" style="1" customWidth="1"/>
    <col min="8" max="8" width="13.5703125" style="1" customWidth="1"/>
    <col min="9" max="9" width="27.42578125" style="1" customWidth="1"/>
    <col min="10" max="16384" width="9.140625" style="1"/>
  </cols>
  <sheetData>
    <row r="1" spans="1:9" ht="24" customHeight="1">
      <c r="A1" s="974" t="s">
        <v>510</v>
      </c>
      <c r="B1" s="974"/>
      <c r="C1" s="974"/>
      <c r="D1" s="974"/>
      <c r="E1" s="974"/>
      <c r="F1" s="974"/>
      <c r="G1" s="974"/>
      <c r="H1" s="974"/>
      <c r="I1" s="974"/>
    </row>
    <row r="2" spans="1:9" ht="15.75" customHeight="1">
      <c r="A2" s="983" t="s">
        <v>509</v>
      </c>
      <c r="B2" s="983"/>
      <c r="C2" s="983"/>
      <c r="D2" s="983"/>
      <c r="E2" s="983"/>
      <c r="F2" s="983"/>
      <c r="G2" s="983"/>
      <c r="H2" s="983"/>
      <c r="I2" s="983"/>
    </row>
    <row r="3" spans="1:9" ht="15.75" customHeight="1">
      <c r="A3" s="983">
        <v>2015</v>
      </c>
      <c r="B3" s="983"/>
      <c r="C3" s="983"/>
      <c r="D3" s="983"/>
      <c r="E3" s="983"/>
      <c r="F3" s="983"/>
      <c r="G3" s="983"/>
      <c r="H3" s="983"/>
      <c r="I3" s="983"/>
    </row>
    <row r="4" spans="1:9" ht="15.75" customHeight="1">
      <c r="A4" s="647"/>
      <c r="B4" s="647"/>
      <c r="C4" s="647"/>
      <c r="D4" s="647"/>
      <c r="E4" s="647"/>
      <c r="F4" s="691"/>
      <c r="G4" s="647"/>
      <c r="H4" s="647"/>
      <c r="I4" s="647"/>
    </row>
    <row r="5" spans="1:9" ht="16.5">
      <c r="A5" s="636" t="s">
        <v>629</v>
      </c>
      <c r="B5" s="637"/>
      <c r="C5" s="641"/>
      <c r="D5" s="641"/>
      <c r="E5" s="641"/>
      <c r="F5" s="641"/>
      <c r="G5" s="642"/>
      <c r="H5" s="646"/>
      <c r="I5" s="643" t="s">
        <v>630</v>
      </c>
    </row>
    <row r="6" spans="1:9" ht="30" customHeight="1" thickBot="1">
      <c r="A6" s="937" t="s">
        <v>251</v>
      </c>
      <c r="B6" s="1026" t="s">
        <v>508</v>
      </c>
      <c r="C6" s="1026"/>
      <c r="D6" s="1026"/>
      <c r="E6" s="1026"/>
      <c r="F6" s="1026"/>
      <c r="G6" s="1026"/>
      <c r="H6" s="980" t="s">
        <v>249</v>
      </c>
      <c r="I6" s="942" t="s">
        <v>248</v>
      </c>
    </row>
    <row r="7" spans="1:9" ht="67.5" customHeight="1">
      <c r="A7" s="939"/>
      <c r="B7" s="621" t="s">
        <v>951</v>
      </c>
      <c r="C7" s="621" t="s">
        <v>952</v>
      </c>
      <c r="D7" s="621" t="s">
        <v>953</v>
      </c>
      <c r="E7" s="621" t="s">
        <v>954</v>
      </c>
      <c r="F7" s="690" t="s">
        <v>293</v>
      </c>
      <c r="G7" s="576" t="s">
        <v>507</v>
      </c>
      <c r="H7" s="1027"/>
      <c r="I7" s="944"/>
    </row>
    <row r="8" spans="1:9" ht="25.5" customHeight="1" thickBot="1">
      <c r="A8" s="144" t="s">
        <v>240</v>
      </c>
      <c r="B8" s="364">
        <v>190</v>
      </c>
      <c r="C8" s="360">
        <v>495</v>
      </c>
      <c r="D8" s="360">
        <v>85</v>
      </c>
      <c r="E8" s="360">
        <v>37</v>
      </c>
      <c r="F8" s="692">
        <v>0</v>
      </c>
      <c r="G8" s="190">
        <f>SUM(B8:F8)</f>
        <v>807</v>
      </c>
      <c r="H8" s="117">
        <f t="shared" ref="H8:H13" si="0">G8/$G$14%</f>
        <v>61.744452945677125</v>
      </c>
      <c r="I8" s="109" t="s">
        <v>239</v>
      </c>
    </row>
    <row r="9" spans="1:9" ht="25.5" customHeight="1" thickBot="1">
      <c r="A9" s="143" t="s">
        <v>238</v>
      </c>
      <c r="B9" s="364">
        <v>20</v>
      </c>
      <c r="C9" s="360">
        <v>39</v>
      </c>
      <c r="D9" s="360">
        <v>11</v>
      </c>
      <c r="E9" s="360">
        <v>3</v>
      </c>
      <c r="F9" s="692">
        <v>0</v>
      </c>
      <c r="G9" s="190">
        <f t="shared" ref="G9:G13" si="1">SUM(B9:F9)</f>
        <v>73</v>
      </c>
      <c r="H9" s="116">
        <f t="shared" si="0"/>
        <v>5.5853098699311401</v>
      </c>
      <c r="I9" s="107" t="s">
        <v>237</v>
      </c>
    </row>
    <row r="10" spans="1:9" ht="25.5" customHeight="1" thickBot="1">
      <c r="A10" s="142" t="s">
        <v>236</v>
      </c>
      <c r="B10" s="364">
        <v>58</v>
      </c>
      <c r="C10" s="360">
        <v>184</v>
      </c>
      <c r="D10" s="360">
        <v>83</v>
      </c>
      <c r="E10" s="360">
        <v>15</v>
      </c>
      <c r="F10" s="692">
        <v>0</v>
      </c>
      <c r="G10" s="190">
        <f t="shared" si="1"/>
        <v>340</v>
      </c>
      <c r="H10" s="115">
        <f t="shared" si="0"/>
        <v>26.013771996939557</v>
      </c>
      <c r="I10" s="106" t="s">
        <v>235</v>
      </c>
    </row>
    <row r="11" spans="1:9" ht="25.5" customHeight="1" thickBot="1">
      <c r="A11" s="143" t="s">
        <v>506</v>
      </c>
      <c r="B11" s="364">
        <v>11</v>
      </c>
      <c r="C11" s="360">
        <v>26</v>
      </c>
      <c r="D11" s="360">
        <v>8</v>
      </c>
      <c r="E11" s="360">
        <v>1</v>
      </c>
      <c r="F11" s="692">
        <v>0</v>
      </c>
      <c r="G11" s="190">
        <f t="shared" si="1"/>
        <v>46</v>
      </c>
      <c r="H11" s="116">
        <f t="shared" si="0"/>
        <v>3.5195103289977046</v>
      </c>
      <c r="I11" s="107" t="s">
        <v>233</v>
      </c>
    </row>
    <row r="12" spans="1:9" ht="25.5" customHeight="1" thickBot="1">
      <c r="A12" s="142" t="s">
        <v>505</v>
      </c>
      <c r="B12" s="364">
        <v>4</v>
      </c>
      <c r="C12" s="360">
        <v>10</v>
      </c>
      <c r="D12" s="360">
        <v>1</v>
      </c>
      <c r="E12" s="360">
        <v>0</v>
      </c>
      <c r="F12" s="692">
        <v>0</v>
      </c>
      <c r="G12" s="190">
        <f t="shared" si="1"/>
        <v>15</v>
      </c>
      <c r="H12" s="115">
        <f t="shared" si="0"/>
        <v>1.1476664116296862</v>
      </c>
      <c r="I12" s="106" t="s">
        <v>231</v>
      </c>
    </row>
    <row r="13" spans="1:9" ht="25.5" customHeight="1" thickBot="1">
      <c r="A13" s="141" t="s">
        <v>230</v>
      </c>
      <c r="B13" s="365">
        <v>6</v>
      </c>
      <c r="C13" s="361">
        <v>13</v>
      </c>
      <c r="D13" s="361">
        <v>5</v>
      </c>
      <c r="E13" s="361">
        <v>2</v>
      </c>
      <c r="F13" s="693">
        <v>0</v>
      </c>
      <c r="G13" s="190">
        <f t="shared" si="1"/>
        <v>26</v>
      </c>
      <c r="H13" s="114">
        <f t="shared" si="0"/>
        <v>1.9892884468247896</v>
      </c>
      <c r="I13" s="104" t="s">
        <v>229</v>
      </c>
    </row>
    <row r="14" spans="1:9" ht="25.5" customHeight="1">
      <c r="A14" s="140" t="s">
        <v>21</v>
      </c>
      <c r="B14" s="177">
        <f>SUM(B8:B13)</f>
        <v>289</v>
      </c>
      <c r="C14" s="177">
        <f t="shared" ref="C14:H14" si="2">SUM(C8:C13)</f>
        <v>767</v>
      </c>
      <c r="D14" s="177">
        <f t="shared" si="2"/>
        <v>193</v>
      </c>
      <c r="E14" s="177">
        <f t="shared" si="2"/>
        <v>58</v>
      </c>
      <c r="F14" s="177">
        <v>0</v>
      </c>
      <c r="G14" s="177">
        <f t="shared" si="2"/>
        <v>1307</v>
      </c>
      <c r="H14" s="112">
        <f t="shared" si="2"/>
        <v>100</v>
      </c>
      <c r="I14" s="139" t="s">
        <v>176</v>
      </c>
    </row>
    <row r="15" spans="1:9" ht="25.5" customHeight="1">
      <c r="A15" s="140" t="s">
        <v>504</v>
      </c>
      <c r="B15" s="112">
        <f>B14/$G$14%</f>
        <v>22.111706197398622</v>
      </c>
      <c r="C15" s="112">
        <f>C14/$G$14%</f>
        <v>58.684009181331291</v>
      </c>
      <c r="D15" s="112">
        <f>D14/$G$14%</f>
        <v>14.76664116296863</v>
      </c>
      <c r="E15" s="112">
        <f>E14/$G$14%</f>
        <v>4.4376434583014532</v>
      </c>
      <c r="F15" s="112">
        <f>F14/$G$14%</f>
        <v>0</v>
      </c>
      <c r="G15" s="112">
        <f>SUM(B15:F15)</f>
        <v>99.999999999999986</v>
      </c>
      <c r="H15" s="112"/>
      <c r="I15" s="139" t="s">
        <v>503</v>
      </c>
    </row>
    <row r="23" spans="1:5" ht="13.5" thickBot="1"/>
    <row r="24" spans="1:5" ht="75.75" thickBot="1">
      <c r="A24" s="138" t="s">
        <v>955</v>
      </c>
      <c r="B24" s="138" t="s">
        <v>956</v>
      </c>
      <c r="C24" s="138" t="s">
        <v>957</v>
      </c>
      <c r="D24" s="138" t="s">
        <v>958</v>
      </c>
      <c r="E24" s="690" t="s">
        <v>293</v>
      </c>
    </row>
    <row r="25" spans="1:5">
      <c r="A25" s="182">
        <f>B8</f>
        <v>190</v>
      </c>
      <c r="B25" s="182">
        <f>C8</f>
        <v>495</v>
      </c>
      <c r="C25" s="182">
        <f>D8</f>
        <v>85</v>
      </c>
      <c r="D25" s="182">
        <f>E8</f>
        <v>37</v>
      </c>
      <c r="E25" s="182">
        <f>F8</f>
        <v>0</v>
      </c>
    </row>
    <row r="26" spans="1:5">
      <c r="A26" s="73">
        <f>A25/$G$8%</f>
        <v>23.543990086741015</v>
      </c>
      <c r="B26" s="73">
        <f>B25/$G$8%</f>
        <v>61.338289962825279</v>
      </c>
      <c r="C26" s="73">
        <f>C25/$G$8%</f>
        <v>10.532837670384138</v>
      </c>
      <c r="D26" s="73">
        <f>D25/$G$8%</f>
        <v>4.5848822800495661</v>
      </c>
      <c r="E26" s="73">
        <f>E25/$G$8%</f>
        <v>0</v>
      </c>
    </row>
    <row r="30" spans="1:5" ht="25.5">
      <c r="A30" s="111" t="s">
        <v>226</v>
      </c>
      <c r="B30" s="182">
        <f>G8</f>
        <v>807</v>
      </c>
    </row>
    <row r="31" spans="1:5" ht="25.5">
      <c r="A31" s="111" t="s">
        <v>225</v>
      </c>
      <c r="B31" s="1">
        <f t="shared" ref="B31:B35" si="3">G9</f>
        <v>73</v>
      </c>
    </row>
    <row r="32" spans="1:5" ht="25.5">
      <c r="A32" s="111" t="s">
        <v>224</v>
      </c>
      <c r="B32" s="1">
        <f t="shared" si="3"/>
        <v>340</v>
      </c>
    </row>
    <row r="33" spans="1:2" ht="25.5">
      <c r="A33" s="111" t="s">
        <v>223</v>
      </c>
      <c r="B33" s="1">
        <f t="shared" si="3"/>
        <v>46</v>
      </c>
    </row>
    <row r="34" spans="1:2" ht="25.5">
      <c r="A34" s="111" t="s">
        <v>222</v>
      </c>
      <c r="B34" s="1">
        <f t="shared" si="3"/>
        <v>15</v>
      </c>
    </row>
    <row r="35" spans="1:2" ht="26.25" thickBot="1">
      <c r="A35" s="110" t="s">
        <v>221</v>
      </c>
      <c r="B35" s="1">
        <f t="shared" si="3"/>
        <v>26</v>
      </c>
    </row>
    <row r="36" spans="1:2" ht="13.5" thickTop="1"/>
    <row r="37" spans="1:2">
      <c r="B37" s="1">
        <f>SUM(B30:B36)</f>
        <v>1307</v>
      </c>
    </row>
  </sheetData>
  <mergeCells count="7">
    <mergeCell ref="B6:G6"/>
    <mergeCell ref="I6:I7"/>
    <mergeCell ref="A6:A7"/>
    <mergeCell ref="H6:H7"/>
    <mergeCell ref="A1:I1"/>
    <mergeCell ref="A2:I2"/>
    <mergeCell ref="A3:I3"/>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4:N34"/>
  <sheetViews>
    <sheetView rightToLeft="1" view="pageBreakPreview" zoomScaleNormal="100" zoomScaleSheetLayoutView="100" workbookViewId="0">
      <selection activeCell="P32" sqref="P32"/>
    </sheetView>
  </sheetViews>
  <sheetFormatPr defaultColWidth="9.140625" defaultRowHeight="12.75"/>
  <cols>
    <col min="1" max="16384" width="9.140625" style="1"/>
  </cols>
  <sheetData>
    <row r="34" spans="1:14" ht="15.75">
      <c r="A34" s="945" t="s">
        <v>511</v>
      </c>
      <c r="B34" s="945"/>
      <c r="C34" s="945"/>
      <c r="D34" s="945"/>
      <c r="E34" s="945"/>
      <c r="F34" s="945"/>
      <c r="G34" s="945"/>
      <c r="H34" s="945"/>
      <c r="I34" s="945"/>
      <c r="J34" s="945"/>
      <c r="K34" s="945"/>
      <c r="L34" s="945"/>
      <c r="M34" s="945"/>
      <c r="N34" s="567"/>
    </row>
  </sheetData>
  <mergeCells count="1">
    <mergeCell ref="A34:M34"/>
  </mergeCells>
  <printOptions horizontalCentered="1" verticalCentered="1"/>
  <pageMargins left="0" right="0" top="0" bottom="0" header="0" footer="0"/>
  <pageSetup paperSize="9"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3:N33"/>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33" spans="1:14" ht="15.75">
      <c r="A33" s="945" t="s">
        <v>512</v>
      </c>
      <c r="B33" s="945"/>
      <c r="C33" s="945"/>
      <c r="D33" s="945"/>
      <c r="E33" s="945"/>
      <c r="F33" s="945"/>
      <c r="G33" s="945"/>
      <c r="H33" s="945"/>
      <c r="I33" s="945"/>
      <c r="J33" s="945"/>
      <c r="K33" s="945"/>
      <c r="L33" s="945"/>
      <c r="M33" s="945"/>
      <c r="N33" s="567"/>
    </row>
  </sheetData>
  <mergeCells count="1">
    <mergeCell ref="A33:M33"/>
  </mergeCells>
  <printOptions horizontalCentered="1" verticalCentered="1"/>
  <pageMargins left="0" right="0" top="0" bottom="0" header="0" footer="0"/>
  <pageSetup paperSize="9"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rightToLeft="1" view="pageBreakPreview" zoomScaleNormal="100" zoomScaleSheetLayoutView="100" workbookViewId="0">
      <selection activeCell="A3" sqref="A3:I3"/>
    </sheetView>
  </sheetViews>
  <sheetFormatPr defaultColWidth="9.140625" defaultRowHeight="12.75"/>
  <cols>
    <col min="1" max="1" width="22.85546875" style="1" customWidth="1"/>
    <col min="2" max="5" width="13.85546875" style="1" customWidth="1"/>
    <col min="6" max="6" width="12.85546875" style="1" customWidth="1"/>
    <col min="7" max="7" width="12.5703125" style="1" customWidth="1"/>
    <col min="8" max="8" width="13.5703125" style="1" customWidth="1"/>
    <col min="9" max="9" width="27.140625" style="1" customWidth="1"/>
    <col min="10" max="16384" width="9.140625" style="1"/>
  </cols>
  <sheetData>
    <row r="1" spans="1:9" ht="24" customHeight="1">
      <c r="A1" s="974" t="s">
        <v>521</v>
      </c>
      <c r="B1" s="974"/>
      <c r="C1" s="974"/>
      <c r="D1" s="974"/>
      <c r="E1" s="974"/>
      <c r="F1" s="974"/>
      <c r="G1" s="974"/>
      <c r="H1" s="974"/>
      <c r="I1" s="974"/>
    </row>
    <row r="2" spans="1:9" ht="15.75" customHeight="1">
      <c r="A2" s="983" t="s">
        <v>520</v>
      </c>
      <c r="B2" s="983"/>
      <c r="C2" s="983"/>
      <c r="D2" s="983"/>
      <c r="E2" s="983"/>
      <c r="F2" s="983"/>
      <c r="G2" s="983"/>
      <c r="H2" s="983"/>
      <c r="I2" s="983"/>
    </row>
    <row r="3" spans="1:9" ht="15.75" customHeight="1">
      <c r="A3" s="983">
        <v>2015</v>
      </c>
      <c r="B3" s="983"/>
      <c r="C3" s="983"/>
      <c r="D3" s="983"/>
      <c r="E3" s="983"/>
      <c r="F3" s="983"/>
      <c r="G3" s="983"/>
      <c r="H3" s="983"/>
      <c r="I3" s="983"/>
    </row>
    <row r="4" spans="1:9" ht="18.75" customHeight="1">
      <c r="A4" s="983" t="s">
        <v>173</v>
      </c>
      <c r="B4" s="983"/>
      <c r="C4" s="983"/>
      <c r="D4" s="983"/>
      <c r="E4" s="983"/>
      <c r="F4" s="983"/>
      <c r="G4" s="983"/>
      <c r="H4" s="983"/>
      <c r="I4" s="983"/>
    </row>
    <row r="5" spans="1:9" ht="18.75" customHeight="1">
      <c r="A5" s="647"/>
      <c r="B5" s="647"/>
      <c r="C5" s="647"/>
      <c r="D5" s="647"/>
      <c r="E5" s="647"/>
      <c r="F5" s="691"/>
      <c r="G5" s="647"/>
      <c r="H5" s="647"/>
      <c r="I5" s="647"/>
    </row>
    <row r="6" spans="1:9" s="93" customFormat="1" ht="16.5">
      <c r="A6" s="636" t="s">
        <v>541</v>
      </c>
      <c r="B6" s="637"/>
      <c r="C6" s="638"/>
      <c r="D6" s="638"/>
      <c r="E6" s="638"/>
      <c r="F6" s="638"/>
      <c r="G6" s="643"/>
      <c r="H6" s="643"/>
      <c r="I6" s="643" t="s">
        <v>540</v>
      </c>
    </row>
    <row r="7" spans="1:9" ht="27.75" customHeight="1" thickBot="1">
      <c r="A7" s="937" t="s">
        <v>519</v>
      </c>
      <c r="B7" s="1026" t="s">
        <v>508</v>
      </c>
      <c r="C7" s="1026"/>
      <c r="D7" s="1026"/>
      <c r="E7" s="1026"/>
      <c r="F7" s="1026"/>
      <c r="G7" s="1026"/>
      <c r="H7" s="980" t="s">
        <v>518</v>
      </c>
      <c r="I7" s="1028" t="s">
        <v>517</v>
      </c>
    </row>
    <row r="8" spans="1:9" ht="58.5" customHeight="1">
      <c r="A8" s="939"/>
      <c r="B8" s="621" t="s">
        <v>951</v>
      </c>
      <c r="C8" s="621" t="s">
        <v>952</v>
      </c>
      <c r="D8" s="621" t="s">
        <v>953</v>
      </c>
      <c r="E8" s="621" t="s">
        <v>954</v>
      </c>
      <c r="F8" s="690" t="s">
        <v>293</v>
      </c>
      <c r="G8" s="576" t="s">
        <v>241</v>
      </c>
      <c r="H8" s="1027"/>
      <c r="I8" s="1029"/>
    </row>
    <row r="9" spans="1:9" ht="16.5" thickBot="1">
      <c r="A9" s="85">
        <v>-20</v>
      </c>
      <c r="B9" s="366">
        <v>1</v>
      </c>
      <c r="C9" s="97">
        <v>0</v>
      </c>
      <c r="D9" s="97">
        <v>0</v>
      </c>
      <c r="E9" s="97">
        <v>0</v>
      </c>
      <c r="F9" s="367">
        <v>0</v>
      </c>
      <c r="G9" s="367">
        <f>SUM(B9:F9)</f>
        <v>1</v>
      </c>
      <c r="H9" s="117">
        <f t="shared" ref="H9:H22" si="0">G9/$G$23%</f>
        <v>0.12391573729863692</v>
      </c>
      <c r="I9" s="82">
        <v>-20</v>
      </c>
    </row>
    <row r="10" spans="1:9" ht="16.5" thickBot="1">
      <c r="A10" s="81" t="s">
        <v>311</v>
      </c>
      <c r="B10" s="366">
        <v>36</v>
      </c>
      <c r="C10" s="97">
        <v>58</v>
      </c>
      <c r="D10" s="97">
        <v>16</v>
      </c>
      <c r="E10" s="97">
        <v>3</v>
      </c>
      <c r="F10" s="367">
        <v>0</v>
      </c>
      <c r="G10" s="367">
        <f t="shared" ref="G10:G22" si="1">SUM(B10:F10)</f>
        <v>113</v>
      </c>
      <c r="H10" s="116">
        <f t="shared" si="0"/>
        <v>14.002478314745971</v>
      </c>
      <c r="I10" s="79" t="s">
        <v>269</v>
      </c>
    </row>
    <row r="11" spans="1:9" ht="16.5" thickBot="1">
      <c r="A11" s="78" t="s">
        <v>310</v>
      </c>
      <c r="B11" s="366">
        <v>70</v>
      </c>
      <c r="C11" s="97">
        <v>132</v>
      </c>
      <c r="D11" s="97">
        <v>18</v>
      </c>
      <c r="E11" s="97">
        <v>6</v>
      </c>
      <c r="F11" s="367">
        <v>0</v>
      </c>
      <c r="G11" s="367">
        <f t="shared" si="1"/>
        <v>226</v>
      </c>
      <c r="H11" s="115">
        <f t="shared" si="0"/>
        <v>28.004956629491943</v>
      </c>
      <c r="I11" s="77" t="s">
        <v>268</v>
      </c>
    </row>
    <row r="12" spans="1:9" ht="16.5" thickBot="1">
      <c r="A12" s="81" t="s">
        <v>309</v>
      </c>
      <c r="B12" s="366">
        <v>34</v>
      </c>
      <c r="C12" s="97">
        <v>95</v>
      </c>
      <c r="D12" s="97">
        <v>21</v>
      </c>
      <c r="E12" s="97">
        <v>12</v>
      </c>
      <c r="F12" s="367">
        <v>0</v>
      </c>
      <c r="G12" s="367">
        <f t="shared" si="1"/>
        <v>162</v>
      </c>
      <c r="H12" s="116">
        <f t="shared" si="0"/>
        <v>20.07434944237918</v>
      </c>
      <c r="I12" s="79" t="s">
        <v>267</v>
      </c>
    </row>
    <row r="13" spans="1:9" ht="16.5" thickBot="1">
      <c r="A13" s="78" t="s">
        <v>308</v>
      </c>
      <c r="B13" s="366">
        <v>21</v>
      </c>
      <c r="C13" s="97">
        <v>54</v>
      </c>
      <c r="D13" s="97">
        <v>11</v>
      </c>
      <c r="E13" s="97">
        <v>4</v>
      </c>
      <c r="F13" s="367">
        <v>0</v>
      </c>
      <c r="G13" s="367">
        <f t="shared" si="1"/>
        <v>90</v>
      </c>
      <c r="H13" s="115">
        <f t="shared" si="0"/>
        <v>11.152416356877323</v>
      </c>
      <c r="I13" s="77" t="s">
        <v>266</v>
      </c>
    </row>
    <row r="14" spans="1:9" ht="16.5" thickBot="1">
      <c r="A14" s="81" t="s">
        <v>307</v>
      </c>
      <c r="B14" s="366">
        <v>11</v>
      </c>
      <c r="C14" s="97">
        <v>40</v>
      </c>
      <c r="D14" s="97">
        <v>8</v>
      </c>
      <c r="E14" s="97">
        <v>4</v>
      </c>
      <c r="F14" s="367">
        <v>0</v>
      </c>
      <c r="G14" s="367">
        <f t="shared" si="1"/>
        <v>63</v>
      </c>
      <c r="H14" s="116">
        <f t="shared" si="0"/>
        <v>7.8066914498141262</v>
      </c>
      <c r="I14" s="79" t="s">
        <v>265</v>
      </c>
    </row>
    <row r="15" spans="1:9" ht="16.5" thickBot="1">
      <c r="A15" s="78" t="s">
        <v>306</v>
      </c>
      <c r="B15" s="366">
        <v>5</v>
      </c>
      <c r="C15" s="97">
        <v>38</v>
      </c>
      <c r="D15" s="97">
        <v>7</v>
      </c>
      <c r="E15" s="97">
        <v>6</v>
      </c>
      <c r="F15" s="367">
        <v>0</v>
      </c>
      <c r="G15" s="367">
        <f t="shared" si="1"/>
        <v>56</v>
      </c>
      <c r="H15" s="115">
        <f t="shared" si="0"/>
        <v>6.9392812887236675</v>
      </c>
      <c r="I15" s="77" t="s">
        <v>264</v>
      </c>
    </row>
    <row r="16" spans="1:9" ht="16.5" thickBot="1">
      <c r="A16" s="81" t="s">
        <v>305</v>
      </c>
      <c r="B16" s="366">
        <v>7</v>
      </c>
      <c r="C16" s="97">
        <v>26</v>
      </c>
      <c r="D16" s="97">
        <v>1</v>
      </c>
      <c r="E16" s="97">
        <v>1</v>
      </c>
      <c r="F16" s="367">
        <v>0</v>
      </c>
      <c r="G16" s="367">
        <f t="shared" si="1"/>
        <v>35</v>
      </c>
      <c r="H16" s="116">
        <f t="shared" si="0"/>
        <v>4.337050805452292</v>
      </c>
      <c r="I16" s="79" t="s">
        <v>263</v>
      </c>
    </row>
    <row r="17" spans="1:9" ht="16.5" thickBot="1">
      <c r="A17" s="78" t="s">
        <v>304</v>
      </c>
      <c r="B17" s="366">
        <v>1</v>
      </c>
      <c r="C17" s="97">
        <v>20</v>
      </c>
      <c r="D17" s="97">
        <v>1</v>
      </c>
      <c r="E17" s="97">
        <v>0</v>
      </c>
      <c r="F17" s="367">
        <v>0</v>
      </c>
      <c r="G17" s="367">
        <f t="shared" si="1"/>
        <v>22</v>
      </c>
      <c r="H17" s="115">
        <f t="shared" si="0"/>
        <v>2.7261462205700124</v>
      </c>
      <c r="I17" s="77" t="s">
        <v>262</v>
      </c>
    </row>
    <row r="18" spans="1:9" ht="16.5" thickBot="1">
      <c r="A18" s="81" t="s">
        <v>516</v>
      </c>
      <c r="B18" s="366">
        <v>1</v>
      </c>
      <c r="C18" s="97">
        <v>15</v>
      </c>
      <c r="D18" s="97">
        <v>2</v>
      </c>
      <c r="E18" s="97">
        <v>1</v>
      </c>
      <c r="F18" s="367">
        <v>0</v>
      </c>
      <c r="G18" s="367">
        <f t="shared" si="1"/>
        <v>19</v>
      </c>
      <c r="H18" s="116">
        <f t="shared" si="0"/>
        <v>2.3543990086741013</v>
      </c>
      <c r="I18" s="79" t="s">
        <v>261</v>
      </c>
    </row>
    <row r="19" spans="1:9" ht="16.5" thickBot="1">
      <c r="A19" s="78" t="s">
        <v>515</v>
      </c>
      <c r="B19" s="366">
        <v>0</v>
      </c>
      <c r="C19" s="97">
        <v>10</v>
      </c>
      <c r="D19" s="97">
        <v>0</v>
      </c>
      <c r="E19" s="97">
        <v>0</v>
      </c>
      <c r="F19" s="367">
        <v>0</v>
      </c>
      <c r="G19" s="367">
        <f t="shared" si="1"/>
        <v>10</v>
      </c>
      <c r="H19" s="115">
        <f t="shared" si="0"/>
        <v>1.2391573729863692</v>
      </c>
      <c r="I19" s="77" t="s">
        <v>260</v>
      </c>
    </row>
    <row r="20" spans="1:9" ht="16.5" thickBot="1">
      <c r="A20" s="81" t="s">
        <v>514</v>
      </c>
      <c r="B20" s="366">
        <v>2</v>
      </c>
      <c r="C20" s="97">
        <v>7</v>
      </c>
      <c r="D20" s="97">
        <v>0</v>
      </c>
      <c r="E20" s="97">
        <v>0</v>
      </c>
      <c r="F20" s="367">
        <v>0</v>
      </c>
      <c r="G20" s="367">
        <f t="shared" si="1"/>
        <v>9</v>
      </c>
      <c r="H20" s="116">
        <f t="shared" si="0"/>
        <v>1.1152416356877324</v>
      </c>
      <c r="I20" s="79" t="s">
        <v>259</v>
      </c>
    </row>
    <row r="21" spans="1:9" ht="16.5" thickBot="1">
      <c r="A21" s="78" t="s">
        <v>284</v>
      </c>
      <c r="B21" s="366">
        <v>1</v>
      </c>
      <c r="C21" s="97">
        <v>0</v>
      </c>
      <c r="D21" s="97">
        <v>0</v>
      </c>
      <c r="E21" s="97">
        <v>0</v>
      </c>
      <c r="F21" s="367">
        <v>0</v>
      </c>
      <c r="G21" s="367">
        <f t="shared" si="1"/>
        <v>1</v>
      </c>
      <c r="H21" s="115">
        <f t="shared" si="0"/>
        <v>0.12391573729863692</v>
      </c>
      <c r="I21" s="77" t="s">
        <v>513</v>
      </c>
    </row>
    <row r="22" spans="1:9" ht="16.5" thickBot="1">
      <c r="A22" s="147" t="s">
        <v>19</v>
      </c>
      <c r="B22" s="368">
        <v>0</v>
      </c>
      <c r="C22" s="369">
        <v>0</v>
      </c>
      <c r="D22" s="369">
        <v>0</v>
      </c>
      <c r="E22" s="369">
        <v>0</v>
      </c>
      <c r="F22" s="370">
        <v>0</v>
      </c>
      <c r="G22" s="367">
        <f t="shared" si="1"/>
        <v>0</v>
      </c>
      <c r="H22" s="114">
        <f t="shared" si="0"/>
        <v>0</v>
      </c>
      <c r="I22" s="146" t="s">
        <v>20</v>
      </c>
    </row>
    <row r="23" spans="1:9" ht="20.100000000000001" customHeight="1">
      <c r="A23" s="113" t="s">
        <v>21</v>
      </c>
      <c r="B23" s="185">
        <f>SUM(B9:B22)</f>
        <v>190</v>
      </c>
      <c r="C23" s="185">
        <f t="shared" ref="C23:H23" si="2">SUM(C9:C22)</f>
        <v>495</v>
      </c>
      <c r="D23" s="185">
        <f t="shared" si="2"/>
        <v>85</v>
      </c>
      <c r="E23" s="185">
        <f t="shared" si="2"/>
        <v>37</v>
      </c>
      <c r="F23" s="185">
        <f t="shared" si="2"/>
        <v>0</v>
      </c>
      <c r="G23" s="185">
        <f t="shared" si="2"/>
        <v>807</v>
      </c>
      <c r="H23" s="145">
        <f t="shared" si="2"/>
        <v>100</v>
      </c>
      <c r="I23" s="103" t="s">
        <v>176</v>
      </c>
    </row>
  </sheetData>
  <mergeCells count="8">
    <mergeCell ref="A1:I1"/>
    <mergeCell ref="A2:I2"/>
    <mergeCell ref="A3:I3"/>
    <mergeCell ref="A7:A8"/>
    <mergeCell ref="B7:G7"/>
    <mergeCell ref="H7:H8"/>
    <mergeCell ref="I7:I8"/>
    <mergeCell ref="A4:I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rightToLeft="1" view="pageBreakPreview" zoomScaleNormal="100" zoomScaleSheetLayoutView="100" workbookViewId="0">
      <selection activeCell="K17" sqref="K17"/>
    </sheetView>
  </sheetViews>
  <sheetFormatPr defaultColWidth="9.140625" defaultRowHeight="12.75"/>
  <cols>
    <col min="1" max="1" width="22.85546875" style="1" customWidth="1"/>
    <col min="2" max="5" width="13.85546875" style="1" customWidth="1"/>
    <col min="6" max="6" width="12.85546875" style="1" customWidth="1"/>
    <col min="7" max="7" width="12.5703125" style="1" customWidth="1"/>
    <col min="8" max="8" width="13.5703125" style="1" customWidth="1"/>
    <col min="9" max="9" width="27.140625" style="1" customWidth="1"/>
    <col min="10" max="16384" width="9.140625" style="1"/>
  </cols>
  <sheetData>
    <row r="1" spans="1:9" ht="24" customHeight="1">
      <c r="A1" s="974" t="s">
        <v>521</v>
      </c>
      <c r="B1" s="974"/>
      <c r="C1" s="974"/>
      <c r="D1" s="974"/>
      <c r="E1" s="974"/>
      <c r="F1" s="974"/>
      <c r="G1" s="974"/>
      <c r="H1" s="974"/>
      <c r="I1" s="974"/>
    </row>
    <row r="2" spans="1:9" ht="15.75" customHeight="1">
      <c r="A2" s="983" t="s">
        <v>520</v>
      </c>
      <c r="B2" s="983"/>
      <c r="C2" s="983"/>
      <c r="D2" s="983"/>
      <c r="E2" s="983"/>
      <c r="F2" s="983"/>
      <c r="G2" s="983"/>
      <c r="H2" s="983"/>
      <c r="I2" s="983"/>
    </row>
    <row r="3" spans="1:9" ht="15.75" customHeight="1">
      <c r="A3" s="983">
        <v>2015</v>
      </c>
      <c r="B3" s="983"/>
      <c r="C3" s="983"/>
      <c r="D3" s="983"/>
      <c r="E3" s="983"/>
      <c r="F3" s="983"/>
      <c r="G3" s="983"/>
      <c r="H3" s="983"/>
      <c r="I3" s="983"/>
    </row>
    <row r="4" spans="1:9" ht="18.75" customHeight="1">
      <c r="A4" s="983" t="s">
        <v>172</v>
      </c>
      <c r="B4" s="983"/>
      <c r="C4" s="983"/>
      <c r="D4" s="983"/>
      <c r="E4" s="983"/>
      <c r="F4" s="983"/>
      <c r="G4" s="983"/>
      <c r="H4" s="983"/>
      <c r="I4" s="983"/>
    </row>
    <row r="5" spans="1:9" ht="18.75" customHeight="1">
      <c r="A5" s="647"/>
      <c r="B5" s="647"/>
      <c r="C5" s="647"/>
      <c r="D5" s="647"/>
      <c r="E5" s="647"/>
      <c r="F5" s="691"/>
      <c r="G5" s="647"/>
      <c r="H5" s="647"/>
      <c r="I5" s="647"/>
    </row>
    <row r="6" spans="1:9" s="93" customFormat="1" ht="16.5">
      <c r="A6" s="636" t="s">
        <v>545</v>
      </c>
      <c r="B6" s="637"/>
      <c r="C6" s="638"/>
      <c r="D6" s="638"/>
      <c r="E6" s="638"/>
      <c r="F6" s="638"/>
      <c r="G6" s="643"/>
      <c r="H6" s="643"/>
      <c r="I6" s="643" t="s">
        <v>544</v>
      </c>
    </row>
    <row r="7" spans="1:9" ht="27.75" customHeight="1" thickBot="1">
      <c r="A7" s="937" t="s">
        <v>519</v>
      </c>
      <c r="B7" s="1026" t="s">
        <v>508</v>
      </c>
      <c r="C7" s="1026"/>
      <c r="D7" s="1026"/>
      <c r="E7" s="1026"/>
      <c r="F7" s="1026"/>
      <c r="G7" s="1026"/>
      <c r="H7" s="980" t="s">
        <v>518</v>
      </c>
      <c r="I7" s="1028" t="s">
        <v>517</v>
      </c>
    </row>
    <row r="8" spans="1:9" ht="58.5" customHeight="1">
      <c r="A8" s="979"/>
      <c r="B8" s="621" t="s">
        <v>951</v>
      </c>
      <c r="C8" s="621" t="s">
        <v>952</v>
      </c>
      <c r="D8" s="621" t="s">
        <v>953</v>
      </c>
      <c r="E8" s="621" t="s">
        <v>954</v>
      </c>
      <c r="F8" s="690" t="s">
        <v>293</v>
      </c>
      <c r="G8" s="576" t="s">
        <v>241</v>
      </c>
      <c r="H8" s="981"/>
      <c r="I8" s="1030"/>
    </row>
    <row r="9" spans="1:9" ht="16.5" thickBot="1">
      <c r="A9" s="92">
        <v>-20</v>
      </c>
      <c r="B9" s="362">
        <v>0</v>
      </c>
      <c r="C9" s="362">
        <v>0</v>
      </c>
      <c r="D9" s="362">
        <v>0</v>
      </c>
      <c r="E9" s="362">
        <v>0</v>
      </c>
      <c r="F9" s="362">
        <v>0</v>
      </c>
      <c r="G9" s="367">
        <f>SUM(B9:F9)</f>
        <v>0</v>
      </c>
      <c r="H9" s="372">
        <f t="shared" ref="H9:H22" si="0">G9/$G$23%</f>
        <v>0</v>
      </c>
      <c r="I9" s="91">
        <v>-20</v>
      </c>
    </row>
    <row r="10" spans="1:9" ht="16.5" thickBot="1">
      <c r="A10" s="81" t="s">
        <v>311</v>
      </c>
      <c r="B10" s="95">
        <v>4</v>
      </c>
      <c r="C10" s="95">
        <v>9</v>
      </c>
      <c r="D10" s="95">
        <v>7</v>
      </c>
      <c r="E10" s="95">
        <v>0</v>
      </c>
      <c r="F10" s="95">
        <v>0</v>
      </c>
      <c r="G10" s="367">
        <f t="shared" ref="G10:G22" si="1">SUM(B10:F10)</f>
        <v>20</v>
      </c>
      <c r="H10" s="116">
        <f t="shared" si="0"/>
        <v>4</v>
      </c>
      <c r="I10" s="79" t="s">
        <v>269</v>
      </c>
    </row>
    <row r="11" spans="1:9" ht="16.5" thickBot="1">
      <c r="A11" s="78" t="s">
        <v>310</v>
      </c>
      <c r="B11" s="95">
        <v>33</v>
      </c>
      <c r="C11" s="95">
        <v>41</v>
      </c>
      <c r="D11" s="95">
        <v>28</v>
      </c>
      <c r="E11" s="95">
        <v>3</v>
      </c>
      <c r="F11" s="95">
        <v>0</v>
      </c>
      <c r="G11" s="367">
        <f t="shared" si="1"/>
        <v>105</v>
      </c>
      <c r="H11" s="115">
        <f t="shared" si="0"/>
        <v>21</v>
      </c>
      <c r="I11" s="77" t="s">
        <v>268</v>
      </c>
    </row>
    <row r="12" spans="1:9" ht="16.5" thickBot="1">
      <c r="A12" s="81" t="s">
        <v>309</v>
      </c>
      <c r="B12" s="95">
        <v>23</v>
      </c>
      <c r="C12" s="95">
        <v>53</v>
      </c>
      <c r="D12" s="95">
        <v>30</v>
      </c>
      <c r="E12" s="95">
        <v>1</v>
      </c>
      <c r="F12" s="95">
        <v>0</v>
      </c>
      <c r="G12" s="367">
        <f t="shared" si="1"/>
        <v>107</v>
      </c>
      <c r="H12" s="116">
        <f t="shared" si="0"/>
        <v>21.4</v>
      </c>
      <c r="I12" s="79" t="s">
        <v>267</v>
      </c>
    </row>
    <row r="13" spans="1:9" ht="16.5" thickBot="1">
      <c r="A13" s="78" t="s">
        <v>308</v>
      </c>
      <c r="B13" s="95">
        <v>13</v>
      </c>
      <c r="C13" s="95">
        <v>60</v>
      </c>
      <c r="D13" s="95">
        <v>22</v>
      </c>
      <c r="E13" s="95">
        <v>3</v>
      </c>
      <c r="F13" s="95">
        <v>0</v>
      </c>
      <c r="G13" s="367">
        <f t="shared" si="1"/>
        <v>98</v>
      </c>
      <c r="H13" s="115">
        <f t="shared" si="0"/>
        <v>19.600000000000001</v>
      </c>
      <c r="I13" s="77" t="s">
        <v>266</v>
      </c>
    </row>
    <row r="14" spans="1:9" ht="16.5" thickBot="1">
      <c r="A14" s="81" t="s">
        <v>307</v>
      </c>
      <c r="B14" s="95">
        <v>8</v>
      </c>
      <c r="C14" s="95">
        <v>32</v>
      </c>
      <c r="D14" s="95">
        <v>12</v>
      </c>
      <c r="E14" s="95">
        <v>3</v>
      </c>
      <c r="F14" s="95">
        <v>0</v>
      </c>
      <c r="G14" s="367">
        <f t="shared" si="1"/>
        <v>55</v>
      </c>
      <c r="H14" s="116">
        <f t="shared" si="0"/>
        <v>11</v>
      </c>
      <c r="I14" s="79" t="s">
        <v>265</v>
      </c>
    </row>
    <row r="15" spans="1:9" ht="16.5" thickBot="1">
      <c r="A15" s="78" t="s">
        <v>306</v>
      </c>
      <c r="B15" s="95">
        <v>5</v>
      </c>
      <c r="C15" s="95">
        <v>31</v>
      </c>
      <c r="D15" s="95">
        <v>6</v>
      </c>
      <c r="E15" s="95">
        <v>6</v>
      </c>
      <c r="F15" s="95">
        <v>0</v>
      </c>
      <c r="G15" s="367">
        <f t="shared" si="1"/>
        <v>48</v>
      </c>
      <c r="H15" s="115">
        <f t="shared" si="0"/>
        <v>9.6</v>
      </c>
      <c r="I15" s="77" t="s">
        <v>264</v>
      </c>
    </row>
    <row r="16" spans="1:9" ht="16.5" thickBot="1">
      <c r="A16" s="81" t="s">
        <v>305</v>
      </c>
      <c r="B16" s="95">
        <v>4</v>
      </c>
      <c r="C16" s="95">
        <v>21</v>
      </c>
      <c r="D16" s="95">
        <v>2</v>
      </c>
      <c r="E16" s="95">
        <v>2</v>
      </c>
      <c r="F16" s="95">
        <v>0</v>
      </c>
      <c r="G16" s="367">
        <f t="shared" si="1"/>
        <v>29</v>
      </c>
      <c r="H16" s="116">
        <f t="shared" si="0"/>
        <v>5.8</v>
      </c>
      <c r="I16" s="79" t="s">
        <v>263</v>
      </c>
    </row>
    <row r="17" spans="1:9" ht="16.5" thickBot="1">
      <c r="A17" s="78" t="s">
        <v>304</v>
      </c>
      <c r="B17" s="95">
        <v>2</v>
      </c>
      <c r="C17" s="95">
        <v>14</v>
      </c>
      <c r="D17" s="95">
        <v>1</v>
      </c>
      <c r="E17" s="95">
        <v>1</v>
      </c>
      <c r="F17" s="95">
        <v>0</v>
      </c>
      <c r="G17" s="367">
        <f t="shared" si="1"/>
        <v>18</v>
      </c>
      <c r="H17" s="115">
        <f t="shared" si="0"/>
        <v>3.6</v>
      </c>
      <c r="I17" s="77" t="s">
        <v>262</v>
      </c>
    </row>
    <row r="18" spans="1:9" ht="16.5" thickBot="1">
      <c r="A18" s="81" t="s">
        <v>516</v>
      </c>
      <c r="B18" s="95">
        <v>3</v>
      </c>
      <c r="C18" s="95">
        <v>8</v>
      </c>
      <c r="D18" s="95">
        <v>0</v>
      </c>
      <c r="E18" s="95">
        <v>2</v>
      </c>
      <c r="F18" s="95">
        <v>0</v>
      </c>
      <c r="G18" s="367">
        <f t="shared" si="1"/>
        <v>13</v>
      </c>
      <c r="H18" s="116">
        <f t="shared" si="0"/>
        <v>2.6</v>
      </c>
      <c r="I18" s="79" t="s">
        <v>261</v>
      </c>
    </row>
    <row r="19" spans="1:9" ht="16.5" thickBot="1">
      <c r="A19" s="78" t="s">
        <v>515</v>
      </c>
      <c r="B19" s="95">
        <v>2</v>
      </c>
      <c r="C19" s="95">
        <v>1</v>
      </c>
      <c r="D19" s="95">
        <v>0</v>
      </c>
      <c r="E19" s="95">
        <v>0</v>
      </c>
      <c r="F19" s="95">
        <v>0</v>
      </c>
      <c r="G19" s="367">
        <f t="shared" si="1"/>
        <v>3</v>
      </c>
      <c r="H19" s="115">
        <f t="shared" si="0"/>
        <v>0.6</v>
      </c>
      <c r="I19" s="77" t="s">
        <v>260</v>
      </c>
    </row>
    <row r="20" spans="1:9" ht="16.5" thickBot="1">
      <c r="A20" s="81" t="s">
        <v>514</v>
      </c>
      <c r="B20" s="95">
        <v>1</v>
      </c>
      <c r="C20" s="95">
        <v>1</v>
      </c>
      <c r="D20" s="95">
        <v>0</v>
      </c>
      <c r="E20" s="95">
        <v>0</v>
      </c>
      <c r="F20" s="95">
        <v>0</v>
      </c>
      <c r="G20" s="367">
        <f t="shared" si="1"/>
        <v>2</v>
      </c>
      <c r="H20" s="116">
        <f t="shared" si="0"/>
        <v>0.4</v>
      </c>
      <c r="I20" s="79" t="s">
        <v>259</v>
      </c>
    </row>
    <row r="21" spans="1:9" ht="16.5" thickBot="1">
      <c r="A21" s="78" t="s">
        <v>284</v>
      </c>
      <c r="B21" s="95">
        <v>1</v>
      </c>
      <c r="C21" s="95">
        <v>1</v>
      </c>
      <c r="D21" s="95">
        <v>0</v>
      </c>
      <c r="E21" s="95">
        <v>0</v>
      </c>
      <c r="F21" s="95">
        <v>0</v>
      </c>
      <c r="G21" s="367">
        <f t="shared" si="1"/>
        <v>2</v>
      </c>
      <c r="H21" s="115">
        <f t="shared" si="0"/>
        <v>0.4</v>
      </c>
      <c r="I21" s="77" t="s">
        <v>513</v>
      </c>
    </row>
    <row r="22" spans="1:9" ht="15.75">
      <c r="A22" s="147" t="s">
        <v>19</v>
      </c>
      <c r="B22" s="377">
        <v>0</v>
      </c>
      <c r="C22" s="377">
        <v>0</v>
      </c>
      <c r="D22" s="377">
        <v>0</v>
      </c>
      <c r="E22" s="377">
        <v>0</v>
      </c>
      <c r="F22" s="377">
        <v>0</v>
      </c>
      <c r="G22" s="370">
        <f t="shared" si="1"/>
        <v>0</v>
      </c>
      <c r="H22" s="114">
        <f t="shared" si="0"/>
        <v>0</v>
      </c>
      <c r="I22" s="146" t="s">
        <v>20</v>
      </c>
    </row>
    <row r="23" spans="1:9" ht="20.100000000000001" customHeight="1">
      <c r="A23" s="113" t="s">
        <v>21</v>
      </c>
      <c r="B23" s="694">
        <f t="shared" ref="B23:G23" si="2">SUM(B9:B22)</f>
        <v>99</v>
      </c>
      <c r="C23" s="694">
        <f t="shared" si="2"/>
        <v>272</v>
      </c>
      <c r="D23" s="694">
        <f t="shared" si="2"/>
        <v>108</v>
      </c>
      <c r="E23" s="694">
        <f t="shared" si="2"/>
        <v>21</v>
      </c>
      <c r="F23" s="694">
        <f t="shared" si="2"/>
        <v>0</v>
      </c>
      <c r="G23" s="694">
        <f t="shared" si="2"/>
        <v>500</v>
      </c>
      <c r="H23" s="145">
        <f t="shared" ref="H23" si="3">SUM(H9:H22)</f>
        <v>99.999999999999986</v>
      </c>
      <c r="I23" s="103" t="s">
        <v>176</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rightToLeft="1" view="pageBreakPreview" zoomScaleNormal="100" zoomScaleSheetLayoutView="100" workbookViewId="0">
      <selection activeCell="K18" sqref="K18"/>
    </sheetView>
  </sheetViews>
  <sheetFormatPr defaultColWidth="9.140625" defaultRowHeight="12.75"/>
  <cols>
    <col min="1" max="1" width="22.85546875" style="1" customWidth="1"/>
    <col min="2" max="5" width="13.85546875" style="1" customWidth="1"/>
    <col min="6" max="6" width="12.85546875" style="1" customWidth="1"/>
    <col min="7" max="7" width="12.5703125" style="1" customWidth="1"/>
    <col min="8" max="8" width="13.5703125" style="1" customWidth="1"/>
    <col min="9" max="9" width="27.140625" style="1" customWidth="1"/>
    <col min="10" max="16384" width="9.140625" style="1"/>
  </cols>
  <sheetData>
    <row r="1" spans="1:9" ht="24" customHeight="1">
      <c r="A1" s="974" t="s">
        <v>521</v>
      </c>
      <c r="B1" s="974"/>
      <c r="C1" s="974"/>
      <c r="D1" s="974"/>
      <c r="E1" s="974"/>
      <c r="F1" s="974"/>
      <c r="G1" s="974"/>
      <c r="H1" s="974"/>
      <c r="I1" s="974"/>
    </row>
    <row r="2" spans="1:9" ht="15.75" customHeight="1">
      <c r="A2" s="983" t="s">
        <v>520</v>
      </c>
      <c r="B2" s="983"/>
      <c r="C2" s="983"/>
      <c r="D2" s="983"/>
      <c r="E2" s="983"/>
      <c r="F2" s="983"/>
      <c r="G2" s="983"/>
      <c r="H2" s="983"/>
      <c r="I2" s="983"/>
    </row>
    <row r="3" spans="1:9" ht="15.75" customHeight="1">
      <c r="A3" s="983">
        <v>2015</v>
      </c>
      <c r="B3" s="983"/>
      <c r="C3" s="983"/>
      <c r="D3" s="983"/>
      <c r="E3" s="983"/>
      <c r="F3" s="983"/>
      <c r="G3" s="983"/>
      <c r="H3" s="983"/>
      <c r="I3" s="983"/>
    </row>
    <row r="4" spans="1:9" ht="18.75" customHeight="1">
      <c r="A4" s="983" t="s">
        <v>1</v>
      </c>
      <c r="B4" s="983"/>
      <c r="C4" s="983"/>
      <c r="D4" s="983"/>
      <c r="E4" s="983"/>
      <c r="F4" s="983"/>
      <c r="G4" s="983"/>
      <c r="H4" s="983"/>
      <c r="I4" s="983"/>
    </row>
    <row r="5" spans="1:9" ht="18.75" customHeight="1">
      <c r="A5" s="647"/>
      <c r="B5" s="647"/>
      <c r="C5" s="647"/>
      <c r="D5" s="647"/>
      <c r="E5" s="647"/>
      <c r="F5" s="691"/>
      <c r="G5" s="647"/>
      <c r="H5" s="647"/>
      <c r="I5" s="647"/>
    </row>
    <row r="6" spans="1:9" s="93" customFormat="1" ht="16.5">
      <c r="A6" s="636" t="s">
        <v>547</v>
      </c>
      <c r="B6" s="637"/>
      <c r="C6" s="638"/>
      <c r="D6" s="638"/>
      <c r="E6" s="638"/>
      <c r="F6" s="638"/>
      <c r="G6" s="643"/>
      <c r="H6" s="643"/>
      <c r="I6" s="643" t="s">
        <v>546</v>
      </c>
    </row>
    <row r="7" spans="1:9" ht="27.75" customHeight="1" thickBot="1">
      <c r="A7" s="937" t="s">
        <v>519</v>
      </c>
      <c r="B7" s="1026" t="s">
        <v>508</v>
      </c>
      <c r="C7" s="1026"/>
      <c r="D7" s="1026"/>
      <c r="E7" s="1026"/>
      <c r="F7" s="1026"/>
      <c r="G7" s="1026"/>
      <c r="H7" s="980" t="s">
        <v>518</v>
      </c>
      <c r="I7" s="1028" t="s">
        <v>517</v>
      </c>
    </row>
    <row r="8" spans="1:9" ht="58.5" customHeight="1">
      <c r="A8" s="979"/>
      <c r="B8" s="621" t="s">
        <v>951</v>
      </c>
      <c r="C8" s="621" t="s">
        <v>952</v>
      </c>
      <c r="D8" s="621" t="s">
        <v>953</v>
      </c>
      <c r="E8" s="621" t="s">
        <v>954</v>
      </c>
      <c r="F8" s="690" t="s">
        <v>293</v>
      </c>
      <c r="G8" s="576" t="s">
        <v>241</v>
      </c>
      <c r="H8" s="981"/>
      <c r="I8" s="1030"/>
    </row>
    <row r="9" spans="1:9" ht="16.5" thickBot="1">
      <c r="A9" s="92">
        <v>-20</v>
      </c>
      <c r="B9" s="366">
        <v>1</v>
      </c>
      <c r="C9" s="97">
        <v>0</v>
      </c>
      <c r="D9" s="97">
        <v>0</v>
      </c>
      <c r="E9" s="97">
        <v>0</v>
      </c>
      <c r="F9" s="367">
        <v>0</v>
      </c>
      <c r="G9" s="367">
        <f>SUM(B9:F9)</f>
        <v>1</v>
      </c>
      <c r="H9" s="372">
        <f t="shared" ref="H9:H22" si="0">G9/$G$23%</f>
        <v>7.6511094108645747E-2</v>
      </c>
      <c r="I9" s="91">
        <v>-20</v>
      </c>
    </row>
    <row r="10" spans="1:9" ht="16.5" thickBot="1">
      <c r="A10" s="81" t="s">
        <v>311</v>
      </c>
      <c r="B10" s="374">
        <v>40</v>
      </c>
      <c r="C10" s="95">
        <v>67</v>
      </c>
      <c r="D10" s="95">
        <v>23</v>
      </c>
      <c r="E10" s="95">
        <v>3</v>
      </c>
      <c r="F10" s="375">
        <v>0</v>
      </c>
      <c r="G10" s="367">
        <f t="shared" ref="G10:G22" si="1">SUM(B10:F10)</f>
        <v>133</v>
      </c>
      <c r="H10" s="116">
        <f t="shared" si="0"/>
        <v>10.175975516449885</v>
      </c>
      <c r="I10" s="79" t="s">
        <v>269</v>
      </c>
    </row>
    <row r="11" spans="1:9" ht="16.5" thickBot="1">
      <c r="A11" s="78" t="s">
        <v>310</v>
      </c>
      <c r="B11" s="374">
        <v>103</v>
      </c>
      <c r="C11" s="95">
        <v>173</v>
      </c>
      <c r="D11" s="95">
        <v>46</v>
      </c>
      <c r="E11" s="95">
        <v>9</v>
      </c>
      <c r="F11" s="375">
        <v>0</v>
      </c>
      <c r="G11" s="367">
        <f t="shared" si="1"/>
        <v>331</v>
      </c>
      <c r="H11" s="115">
        <f t="shared" si="0"/>
        <v>25.325172149961745</v>
      </c>
      <c r="I11" s="77" t="s">
        <v>268</v>
      </c>
    </row>
    <row r="12" spans="1:9" ht="16.5" thickBot="1">
      <c r="A12" s="81" t="s">
        <v>309</v>
      </c>
      <c r="B12" s="374">
        <v>57</v>
      </c>
      <c r="C12" s="95">
        <v>148</v>
      </c>
      <c r="D12" s="95">
        <v>51</v>
      </c>
      <c r="E12" s="95">
        <v>13</v>
      </c>
      <c r="F12" s="375">
        <v>0</v>
      </c>
      <c r="G12" s="367">
        <f t="shared" si="1"/>
        <v>269</v>
      </c>
      <c r="H12" s="116">
        <f t="shared" si="0"/>
        <v>20.581484315225708</v>
      </c>
      <c r="I12" s="79" t="s">
        <v>267</v>
      </c>
    </row>
    <row r="13" spans="1:9" ht="16.5" thickBot="1">
      <c r="A13" s="78" t="s">
        <v>308</v>
      </c>
      <c r="B13" s="374">
        <v>34</v>
      </c>
      <c r="C13" s="95">
        <v>114</v>
      </c>
      <c r="D13" s="95">
        <v>33</v>
      </c>
      <c r="E13" s="95">
        <v>7</v>
      </c>
      <c r="F13" s="375">
        <v>0</v>
      </c>
      <c r="G13" s="367">
        <f t="shared" si="1"/>
        <v>188</v>
      </c>
      <c r="H13" s="115">
        <f t="shared" si="0"/>
        <v>14.384085692425401</v>
      </c>
      <c r="I13" s="77" t="s">
        <v>266</v>
      </c>
    </row>
    <row r="14" spans="1:9" ht="16.5" thickBot="1">
      <c r="A14" s="81" t="s">
        <v>307</v>
      </c>
      <c r="B14" s="374">
        <v>19</v>
      </c>
      <c r="C14" s="95">
        <v>72</v>
      </c>
      <c r="D14" s="95">
        <v>20</v>
      </c>
      <c r="E14" s="95">
        <v>7</v>
      </c>
      <c r="F14" s="375">
        <v>0</v>
      </c>
      <c r="G14" s="367">
        <f t="shared" si="1"/>
        <v>118</v>
      </c>
      <c r="H14" s="116">
        <f t="shared" si="0"/>
        <v>9.0283091048201989</v>
      </c>
      <c r="I14" s="79" t="s">
        <v>265</v>
      </c>
    </row>
    <row r="15" spans="1:9" ht="16.5" thickBot="1">
      <c r="A15" s="78" t="s">
        <v>306</v>
      </c>
      <c r="B15" s="374">
        <v>10</v>
      </c>
      <c r="C15" s="95">
        <v>69</v>
      </c>
      <c r="D15" s="95">
        <v>13</v>
      </c>
      <c r="E15" s="95">
        <v>12</v>
      </c>
      <c r="F15" s="375">
        <v>0</v>
      </c>
      <c r="G15" s="367">
        <f t="shared" si="1"/>
        <v>104</v>
      </c>
      <c r="H15" s="115">
        <f t="shared" si="0"/>
        <v>7.9571537872991582</v>
      </c>
      <c r="I15" s="77" t="s">
        <v>264</v>
      </c>
    </row>
    <row r="16" spans="1:9" ht="16.5" thickBot="1">
      <c r="A16" s="81" t="s">
        <v>305</v>
      </c>
      <c r="B16" s="374">
        <v>11</v>
      </c>
      <c r="C16" s="95">
        <v>47</v>
      </c>
      <c r="D16" s="95">
        <v>3</v>
      </c>
      <c r="E16" s="95">
        <v>3</v>
      </c>
      <c r="F16" s="375">
        <v>0</v>
      </c>
      <c r="G16" s="367">
        <f t="shared" si="1"/>
        <v>64</v>
      </c>
      <c r="H16" s="116">
        <f t="shared" si="0"/>
        <v>4.8967100229533278</v>
      </c>
      <c r="I16" s="79" t="s">
        <v>263</v>
      </c>
    </row>
    <row r="17" spans="1:9" ht="16.5" thickBot="1">
      <c r="A17" s="78" t="s">
        <v>304</v>
      </c>
      <c r="B17" s="374">
        <v>3</v>
      </c>
      <c r="C17" s="95">
        <v>34</v>
      </c>
      <c r="D17" s="95">
        <v>2</v>
      </c>
      <c r="E17" s="95">
        <v>1</v>
      </c>
      <c r="F17" s="375">
        <v>0</v>
      </c>
      <c r="G17" s="367">
        <f t="shared" si="1"/>
        <v>40</v>
      </c>
      <c r="H17" s="115">
        <f t="shared" si="0"/>
        <v>3.06044376434583</v>
      </c>
      <c r="I17" s="77" t="s">
        <v>262</v>
      </c>
    </row>
    <row r="18" spans="1:9" ht="16.5" thickBot="1">
      <c r="A18" s="81" t="s">
        <v>516</v>
      </c>
      <c r="B18" s="374">
        <v>4</v>
      </c>
      <c r="C18" s="95">
        <v>23</v>
      </c>
      <c r="D18" s="95">
        <v>2</v>
      </c>
      <c r="E18" s="95">
        <v>3</v>
      </c>
      <c r="F18" s="375">
        <v>0</v>
      </c>
      <c r="G18" s="367">
        <f t="shared" si="1"/>
        <v>32</v>
      </c>
      <c r="H18" s="116">
        <f t="shared" si="0"/>
        <v>2.4483550114766639</v>
      </c>
      <c r="I18" s="79" t="s">
        <v>261</v>
      </c>
    </row>
    <row r="19" spans="1:9" ht="16.5" thickBot="1">
      <c r="A19" s="78" t="s">
        <v>515</v>
      </c>
      <c r="B19" s="374">
        <v>2</v>
      </c>
      <c r="C19" s="95">
        <v>11</v>
      </c>
      <c r="D19" s="95">
        <v>0</v>
      </c>
      <c r="E19" s="95">
        <v>0</v>
      </c>
      <c r="F19" s="375">
        <v>0</v>
      </c>
      <c r="G19" s="367">
        <f t="shared" si="1"/>
        <v>13</v>
      </c>
      <c r="H19" s="115">
        <f t="shared" si="0"/>
        <v>0.99464422341239478</v>
      </c>
      <c r="I19" s="77" t="s">
        <v>260</v>
      </c>
    </row>
    <row r="20" spans="1:9" ht="16.5" thickBot="1">
      <c r="A20" s="81" t="s">
        <v>514</v>
      </c>
      <c r="B20" s="374">
        <v>3</v>
      </c>
      <c r="C20" s="95">
        <v>8</v>
      </c>
      <c r="D20" s="95">
        <v>0</v>
      </c>
      <c r="E20" s="95">
        <v>0</v>
      </c>
      <c r="F20" s="375">
        <v>0</v>
      </c>
      <c r="G20" s="367">
        <f t="shared" si="1"/>
        <v>11</v>
      </c>
      <c r="H20" s="116">
        <f t="shared" si="0"/>
        <v>0.84162203519510326</v>
      </c>
      <c r="I20" s="79" t="s">
        <v>259</v>
      </c>
    </row>
    <row r="21" spans="1:9" ht="16.5" thickBot="1">
      <c r="A21" s="78" t="s">
        <v>284</v>
      </c>
      <c r="B21" s="374">
        <v>2</v>
      </c>
      <c r="C21" s="95">
        <v>1</v>
      </c>
      <c r="D21" s="95">
        <v>0</v>
      </c>
      <c r="E21" s="95">
        <v>0</v>
      </c>
      <c r="F21" s="375">
        <v>0</v>
      </c>
      <c r="G21" s="367">
        <f t="shared" si="1"/>
        <v>3</v>
      </c>
      <c r="H21" s="115">
        <f t="shared" si="0"/>
        <v>0.22953328232593725</v>
      </c>
      <c r="I21" s="77" t="s">
        <v>513</v>
      </c>
    </row>
    <row r="22" spans="1:9" ht="16.5" thickBot="1">
      <c r="A22" s="76" t="s">
        <v>19</v>
      </c>
      <c r="B22" s="376">
        <v>0</v>
      </c>
      <c r="C22" s="377">
        <v>0</v>
      </c>
      <c r="D22" s="377">
        <v>0</v>
      </c>
      <c r="E22" s="377">
        <v>0</v>
      </c>
      <c r="F22" s="378">
        <v>0</v>
      </c>
      <c r="G22" s="367">
        <f t="shared" si="1"/>
        <v>0</v>
      </c>
      <c r="H22" s="373">
        <f t="shared" si="0"/>
        <v>0</v>
      </c>
      <c r="I22" s="75" t="s">
        <v>20</v>
      </c>
    </row>
    <row r="23" spans="1:9" ht="20.100000000000001" customHeight="1">
      <c r="A23" s="171" t="s">
        <v>21</v>
      </c>
      <c r="B23" s="185">
        <f t="shared" ref="B23:G23" si="2">SUM(B9:B22)</f>
        <v>289</v>
      </c>
      <c r="C23" s="185">
        <f t="shared" si="2"/>
        <v>767</v>
      </c>
      <c r="D23" s="185">
        <f t="shared" si="2"/>
        <v>193</v>
      </c>
      <c r="E23" s="185">
        <f t="shared" si="2"/>
        <v>58</v>
      </c>
      <c r="F23" s="185">
        <f t="shared" si="2"/>
        <v>0</v>
      </c>
      <c r="G23" s="185">
        <f t="shared" si="2"/>
        <v>1307</v>
      </c>
      <c r="H23" s="371">
        <f t="shared" ref="H23" si="3">SUM(H9:H22)</f>
        <v>100</v>
      </c>
      <c r="I23" s="173" t="s">
        <v>176</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rightToLeft="1" view="pageBreakPreview" zoomScaleNormal="100" zoomScaleSheetLayoutView="100" workbookViewId="0">
      <selection activeCell="F4" sqref="F4"/>
    </sheetView>
  </sheetViews>
  <sheetFormatPr defaultColWidth="9.140625" defaultRowHeight="12.75"/>
  <cols>
    <col min="1" max="1" width="3.7109375" style="2" customWidth="1"/>
    <col min="2" max="2" width="37.7109375" style="2" customWidth="1"/>
    <col min="3" max="3" width="3.7109375" style="565" customWidth="1"/>
    <col min="4" max="4" width="37.7109375" style="2" customWidth="1"/>
    <col min="5" max="6" width="3.7109375" style="2" customWidth="1"/>
    <col min="7" max="16384" width="9.140625" style="2"/>
  </cols>
  <sheetData>
    <row r="1" spans="1:6" ht="33.75" customHeight="1" thickBot="1">
      <c r="A1" s="913" t="s">
        <v>100</v>
      </c>
      <c r="B1" s="914"/>
      <c r="C1" s="64"/>
      <c r="D1" s="915" t="s">
        <v>61</v>
      </c>
      <c r="E1" s="916"/>
      <c r="F1" s="63"/>
    </row>
    <row r="2" spans="1:6" ht="55.5" customHeight="1" thickBot="1">
      <c r="A2" s="59"/>
      <c r="B2" s="62" t="s">
        <v>99</v>
      </c>
      <c r="C2" s="61"/>
      <c r="D2" s="917" t="s">
        <v>98</v>
      </c>
      <c r="E2" s="918"/>
    </row>
    <row r="3" spans="1:6" ht="27" customHeight="1" thickBot="1">
      <c r="A3" s="913" t="s">
        <v>97</v>
      </c>
      <c r="B3" s="914"/>
      <c r="C3" s="559"/>
      <c r="D3" s="919" t="s">
        <v>96</v>
      </c>
      <c r="E3" s="922"/>
      <c r="F3" s="30"/>
    </row>
    <row r="4" spans="1:6" ht="75" customHeight="1">
      <c r="A4" s="59"/>
      <c r="B4" s="59" t="s">
        <v>95</v>
      </c>
      <c r="C4" s="58"/>
      <c r="D4" s="917" t="s">
        <v>94</v>
      </c>
      <c r="E4" s="918"/>
      <c r="F4" s="60"/>
    </row>
    <row r="5" spans="1:6" ht="43.5" customHeight="1">
      <c r="A5" s="59"/>
      <c r="B5" s="59" t="s">
        <v>93</v>
      </c>
      <c r="C5" s="58"/>
      <c r="D5" s="921" t="s">
        <v>92</v>
      </c>
      <c r="E5" s="921"/>
    </row>
    <row r="6" spans="1:6" ht="33">
      <c r="A6" s="57" t="s">
        <v>83</v>
      </c>
      <c r="B6" s="32" t="s">
        <v>917</v>
      </c>
      <c r="C6" s="560"/>
      <c r="D6" s="561" t="s">
        <v>91</v>
      </c>
      <c r="E6" s="56" t="s">
        <v>83</v>
      </c>
    </row>
    <row r="7" spans="1:6" ht="49.5">
      <c r="A7" s="57" t="s">
        <v>81</v>
      </c>
      <c r="B7" s="32" t="s">
        <v>918</v>
      </c>
      <c r="C7" s="560"/>
      <c r="D7" s="561" t="s">
        <v>90</v>
      </c>
      <c r="E7" s="56" t="s">
        <v>81</v>
      </c>
    </row>
    <row r="8" spans="1:6" ht="48.75" customHeight="1" thickBot="1">
      <c r="A8" s="57" t="s">
        <v>79</v>
      </c>
      <c r="B8" s="32" t="s">
        <v>919</v>
      </c>
      <c r="C8" s="560"/>
      <c r="D8" s="561" t="s">
        <v>89</v>
      </c>
      <c r="E8" s="56" t="s">
        <v>79</v>
      </c>
    </row>
    <row r="9" spans="1:6" ht="30.75" customHeight="1" thickBot="1">
      <c r="A9" s="913" t="s">
        <v>88</v>
      </c>
      <c r="B9" s="914"/>
      <c r="C9" s="559"/>
      <c r="D9" s="919" t="s">
        <v>87</v>
      </c>
      <c r="E9" s="920"/>
    </row>
    <row r="10" spans="1:6" ht="106.5" customHeight="1">
      <c r="A10" s="59"/>
      <c r="B10" s="59" t="s">
        <v>86</v>
      </c>
      <c r="C10" s="58"/>
      <c r="D10" s="917" t="s">
        <v>85</v>
      </c>
      <c r="E10" s="918"/>
    </row>
    <row r="11" spans="1:6" ht="86.25">
      <c r="A11" s="57" t="s">
        <v>83</v>
      </c>
      <c r="B11" s="562" t="s">
        <v>920</v>
      </c>
      <c r="C11" s="61"/>
      <c r="D11" s="563" t="s">
        <v>84</v>
      </c>
      <c r="E11" s="56" t="s">
        <v>83</v>
      </c>
    </row>
    <row r="12" spans="1:6" ht="57.75">
      <c r="A12" s="57" t="s">
        <v>81</v>
      </c>
      <c r="B12" s="564" t="s">
        <v>921</v>
      </c>
      <c r="C12" s="560"/>
      <c r="D12" s="563" t="s">
        <v>82</v>
      </c>
      <c r="E12" s="56" t="s">
        <v>81</v>
      </c>
    </row>
    <row r="13" spans="1:6" ht="100.5">
      <c r="A13" s="57" t="s">
        <v>79</v>
      </c>
      <c r="B13" s="564" t="s">
        <v>922</v>
      </c>
      <c r="C13" s="560"/>
      <c r="D13" s="563" t="s">
        <v>80</v>
      </c>
      <c r="E13" s="56" t="s">
        <v>79</v>
      </c>
    </row>
    <row r="14" spans="1:6" ht="101.25" thickBot="1">
      <c r="A14" s="57" t="s">
        <v>77</v>
      </c>
      <c r="B14" s="564" t="s">
        <v>923</v>
      </c>
      <c r="C14" s="560"/>
      <c r="D14" s="563" t="s">
        <v>78</v>
      </c>
      <c r="E14" s="56" t="s">
        <v>77</v>
      </c>
    </row>
    <row r="15" spans="1:6" ht="27" customHeight="1" thickBot="1">
      <c r="A15" s="913" t="s">
        <v>947</v>
      </c>
      <c r="B15" s="914"/>
      <c r="C15" s="559"/>
      <c r="D15" s="919" t="s">
        <v>944</v>
      </c>
      <c r="E15" s="920"/>
    </row>
    <row r="16" spans="1:6" ht="91.5" customHeight="1" thickBot="1">
      <c r="B16" s="55" t="s">
        <v>945</v>
      </c>
      <c r="C16" s="54"/>
      <c r="D16" s="53" t="s">
        <v>946</v>
      </c>
      <c r="F16" s="53"/>
    </row>
    <row r="17" spans="1:11" ht="27" customHeight="1" thickBot="1">
      <c r="A17" s="913" t="s">
        <v>948</v>
      </c>
      <c r="B17" s="914"/>
      <c r="C17" s="559"/>
      <c r="D17" s="919" t="s">
        <v>949</v>
      </c>
      <c r="E17" s="920"/>
    </row>
    <row r="18" spans="1:11" ht="41.25" customHeight="1">
      <c r="B18" s="55" t="s">
        <v>1041</v>
      </c>
      <c r="C18" s="54"/>
      <c r="D18" s="53" t="s">
        <v>1042</v>
      </c>
      <c r="F18" s="53"/>
    </row>
    <row r="28" spans="1:11" ht="16.5">
      <c r="C28" s="2"/>
      <c r="K28" s="52"/>
    </row>
  </sheetData>
  <mergeCells count="14">
    <mergeCell ref="A1:B1"/>
    <mergeCell ref="D1:E1"/>
    <mergeCell ref="D2:E2"/>
    <mergeCell ref="A9:B9"/>
    <mergeCell ref="A17:B17"/>
    <mergeCell ref="A3:B3"/>
    <mergeCell ref="D9:E9"/>
    <mergeCell ref="D10:E10"/>
    <mergeCell ref="D17:E17"/>
    <mergeCell ref="D5:E5"/>
    <mergeCell ref="D4:E4"/>
    <mergeCell ref="D3:E3"/>
    <mergeCell ref="A15:B15"/>
    <mergeCell ref="D15:E15"/>
  </mergeCells>
  <printOptions horizontalCentered="1"/>
  <pageMargins left="0.74803149606299213" right="0.74803149606299213" top="1.1811023622047245" bottom="0.59055118110236227" header="0.51181102362204722" footer="0.51181102362204722"/>
  <pageSetup paperSize="9" scale="99" orientation="portrait" r:id="rId1"/>
  <headerFooter alignWithMargins="0"/>
  <rowBreaks count="1" manualBreakCount="1">
    <brk id="12" max="4"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rightToLeft="1" view="pageBreakPreview" zoomScaleNormal="100" zoomScaleSheetLayoutView="100" workbookViewId="0">
      <selection activeCell="K19" sqref="K19"/>
    </sheetView>
  </sheetViews>
  <sheetFormatPr defaultColWidth="9.140625" defaultRowHeight="12.75"/>
  <cols>
    <col min="1" max="1" width="19.5703125" style="1" customWidth="1"/>
    <col min="2" max="7" width="13.85546875" style="1" customWidth="1"/>
    <col min="8" max="8" width="13.5703125" style="1" customWidth="1"/>
    <col min="9" max="9" width="19.7109375" style="1" customWidth="1"/>
    <col min="10" max="16384" width="9.140625" style="1"/>
  </cols>
  <sheetData>
    <row r="1" spans="1:9" ht="24" customHeight="1">
      <c r="A1" s="974" t="s">
        <v>526</v>
      </c>
      <c r="B1" s="974"/>
      <c r="C1" s="974"/>
      <c r="D1" s="974"/>
      <c r="E1" s="974"/>
      <c r="F1" s="974"/>
      <c r="G1" s="974"/>
      <c r="H1" s="974"/>
      <c r="I1" s="974"/>
    </row>
    <row r="2" spans="1:9" ht="15.75" customHeight="1">
      <c r="A2" s="983" t="s">
        <v>525</v>
      </c>
      <c r="B2" s="983"/>
      <c r="C2" s="983"/>
      <c r="D2" s="983"/>
      <c r="E2" s="983"/>
      <c r="F2" s="983"/>
      <c r="G2" s="983"/>
      <c r="H2" s="983"/>
      <c r="I2" s="983"/>
    </row>
    <row r="3" spans="1:9" ht="15.75" customHeight="1">
      <c r="A3" s="983">
        <v>2015</v>
      </c>
      <c r="B3" s="983"/>
      <c r="C3" s="983"/>
      <c r="D3" s="983"/>
      <c r="E3" s="983"/>
      <c r="F3" s="983"/>
      <c r="G3" s="983"/>
      <c r="H3" s="983"/>
      <c r="I3" s="983"/>
    </row>
    <row r="4" spans="1:9" ht="18.75" customHeight="1">
      <c r="A4" s="983" t="s">
        <v>330</v>
      </c>
      <c r="B4" s="983"/>
      <c r="C4" s="983"/>
      <c r="D4" s="983"/>
      <c r="E4" s="983"/>
      <c r="F4" s="983"/>
      <c r="G4" s="983"/>
      <c r="H4" s="983"/>
      <c r="I4" s="983"/>
    </row>
    <row r="5" spans="1:9" ht="18.75" customHeight="1">
      <c r="A5" s="647"/>
      <c r="B5" s="647"/>
      <c r="C5" s="647"/>
      <c r="D5" s="647"/>
      <c r="E5" s="647"/>
      <c r="F5" s="691"/>
      <c r="G5" s="647"/>
      <c r="H5" s="647"/>
      <c r="I5" s="647"/>
    </row>
    <row r="6" spans="1:9" s="93" customFormat="1" ht="16.5">
      <c r="A6" s="636" t="s">
        <v>549</v>
      </c>
      <c r="B6" s="637"/>
      <c r="C6" s="638"/>
      <c r="D6" s="638"/>
      <c r="E6" s="638"/>
      <c r="F6" s="638"/>
      <c r="G6" s="643"/>
      <c r="H6" s="643"/>
      <c r="I6" s="643" t="s">
        <v>548</v>
      </c>
    </row>
    <row r="7" spans="1:9" ht="27.75" customHeight="1" thickBot="1">
      <c r="A7" s="937" t="s">
        <v>524</v>
      </c>
      <c r="B7" s="1026" t="s">
        <v>508</v>
      </c>
      <c r="C7" s="1026"/>
      <c r="D7" s="1026"/>
      <c r="E7" s="1026"/>
      <c r="F7" s="1026"/>
      <c r="G7" s="1026"/>
      <c r="H7" s="980" t="s">
        <v>523</v>
      </c>
      <c r="I7" s="1028" t="s">
        <v>522</v>
      </c>
    </row>
    <row r="8" spans="1:9" ht="57.75" customHeight="1">
      <c r="A8" s="979"/>
      <c r="B8" s="621" t="s">
        <v>951</v>
      </c>
      <c r="C8" s="621" t="s">
        <v>952</v>
      </c>
      <c r="D8" s="621" t="s">
        <v>953</v>
      </c>
      <c r="E8" s="621" t="s">
        <v>954</v>
      </c>
      <c r="F8" s="690" t="s">
        <v>293</v>
      </c>
      <c r="G8" s="576" t="s">
        <v>241</v>
      </c>
      <c r="H8" s="981"/>
      <c r="I8" s="1030"/>
    </row>
    <row r="9" spans="1:9" ht="19.5" customHeight="1" thickBot="1">
      <c r="A9" s="92">
        <v>-20</v>
      </c>
      <c r="B9" s="366">
        <v>16</v>
      </c>
      <c r="C9" s="97">
        <v>11</v>
      </c>
      <c r="D9" s="97">
        <v>4</v>
      </c>
      <c r="E9" s="97">
        <v>0</v>
      </c>
      <c r="F9" s="367">
        <v>0</v>
      </c>
      <c r="G9" s="191">
        <f>SUM(B9:F9)</f>
        <v>31</v>
      </c>
      <c r="H9" s="372">
        <f t="shared" ref="H9:H19" si="0">G9/$G$20%</f>
        <v>4.3909348441926346</v>
      </c>
      <c r="I9" s="91">
        <v>-20</v>
      </c>
    </row>
    <row r="10" spans="1:9" ht="19.5" customHeight="1" thickBot="1">
      <c r="A10" s="81" t="s">
        <v>311</v>
      </c>
      <c r="B10" s="374">
        <v>63</v>
      </c>
      <c r="C10" s="95">
        <v>91</v>
      </c>
      <c r="D10" s="95">
        <v>23</v>
      </c>
      <c r="E10" s="95">
        <v>5</v>
      </c>
      <c r="F10" s="375">
        <v>0</v>
      </c>
      <c r="G10" s="191">
        <f t="shared" ref="G10:G19" si="1">SUM(B10:F10)</f>
        <v>182</v>
      </c>
      <c r="H10" s="116">
        <f t="shared" si="0"/>
        <v>25.779036827195469</v>
      </c>
      <c r="I10" s="79" t="s">
        <v>269</v>
      </c>
    </row>
    <row r="11" spans="1:9" ht="19.5" customHeight="1" thickBot="1">
      <c r="A11" s="78" t="s">
        <v>310</v>
      </c>
      <c r="B11" s="374">
        <v>48</v>
      </c>
      <c r="C11" s="95">
        <v>99</v>
      </c>
      <c r="D11" s="95">
        <v>22</v>
      </c>
      <c r="E11" s="95">
        <v>11</v>
      </c>
      <c r="F11" s="375">
        <v>0</v>
      </c>
      <c r="G11" s="191">
        <f t="shared" si="1"/>
        <v>180</v>
      </c>
      <c r="H11" s="115">
        <f t="shared" si="0"/>
        <v>25.495750708215297</v>
      </c>
      <c r="I11" s="77" t="s">
        <v>268</v>
      </c>
    </row>
    <row r="12" spans="1:9" ht="19.5" customHeight="1" thickBot="1">
      <c r="A12" s="81" t="s">
        <v>309</v>
      </c>
      <c r="B12" s="374">
        <v>18</v>
      </c>
      <c r="C12" s="95">
        <v>68</v>
      </c>
      <c r="D12" s="95">
        <v>15</v>
      </c>
      <c r="E12" s="95">
        <v>3</v>
      </c>
      <c r="F12" s="375">
        <v>0</v>
      </c>
      <c r="G12" s="191">
        <f t="shared" si="1"/>
        <v>104</v>
      </c>
      <c r="H12" s="116">
        <f t="shared" si="0"/>
        <v>14.730878186968839</v>
      </c>
      <c r="I12" s="79" t="s">
        <v>267</v>
      </c>
    </row>
    <row r="13" spans="1:9" ht="19.5" customHeight="1" thickBot="1">
      <c r="A13" s="78" t="s">
        <v>308</v>
      </c>
      <c r="B13" s="374">
        <v>11</v>
      </c>
      <c r="C13" s="95">
        <v>52</v>
      </c>
      <c r="D13" s="95">
        <v>6</v>
      </c>
      <c r="E13" s="95">
        <v>5</v>
      </c>
      <c r="F13" s="375">
        <v>0</v>
      </c>
      <c r="G13" s="191">
        <f t="shared" si="1"/>
        <v>74</v>
      </c>
      <c r="H13" s="115">
        <f t="shared" si="0"/>
        <v>10.48158640226629</v>
      </c>
      <c r="I13" s="77" t="s">
        <v>266</v>
      </c>
    </row>
    <row r="14" spans="1:9" ht="19.5" customHeight="1" thickBot="1">
      <c r="A14" s="81" t="s">
        <v>307</v>
      </c>
      <c r="B14" s="374">
        <v>10</v>
      </c>
      <c r="C14" s="95">
        <v>25</v>
      </c>
      <c r="D14" s="95">
        <v>7</v>
      </c>
      <c r="E14" s="95">
        <v>4</v>
      </c>
      <c r="F14" s="375">
        <v>0</v>
      </c>
      <c r="G14" s="191">
        <f t="shared" si="1"/>
        <v>46</v>
      </c>
      <c r="H14" s="116">
        <f t="shared" si="0"/>
        <v>6.5155807365439093</v>
      </c>
      <c r="I14" s="79" t="s">
        <v>265</v>
      </c>
    </row>
    <row r="15" spans="1:9" ht="19.5" customHeight="1" thickBot="1">
      <c r="A15" s="78" t="s">
        <v>306</v>
      </c>
      <c r="B15" s="374">
        <v>1</v>
      </c>
      <c r="C15" s="95">
        <v>33</v>
      </c>
      <c r="D15" s="95">
        <v>2</v>
      </c>
      <c r="E15" s="95">
        <v>5</v>
      </c>
      <c r="F15" s="375">
        <v>0</v>
      </c>
      <c r="G15" s="191">
        <f t="shared" si="1"/>
        <v>41</v>
      </c>
      <c r="H15" s="115">
        <f t="shared" si="0"/>
        <v>5.807365439093485</v>
      </c>
      <c r="I15" s="77" t="s">
        <v>264</v>
      </c>
    </row>
    <row r="16" spans="1:9" ht="19.5" customHeight="1" thickBot="1">
      <c r="A16" s="81" t="s">
        <v>305</v>
      </c>
      <c r="B16" s="374">
        <v>2</v>
      </c>
      <c r="C16" s="95">
        <v>20</v>
      </c>
      <c r="D16" s="95">
        <v>0</v>
      </c>
      <c r="E16" s="95">
        <v>0</v>
      </c>
      <c r="F16" s="375">
        <v>0</v>
      </c>
      <c r="G16" s="191">
        <f t="shared" si="1"/>
        <v>22</v>
      </c>
      <c r="H16" s="116">
        <f t="shared" si="0"/>
        <v>3.1161473087818701</v>
      </c>
      <c r="I16" s="79" t="s">
        <v>263</v>
      </c>
    </row>
    <row r="17" spans="1:9" ht="19.5" customHeight="1" thickBot="1">
      <c r="A17" s="78" t="s">
        <v>304</v>
      </c>
      <c r="B17" s="374">
        <v>4</v>
      </c>
      <c r="C17" s="95">
        <v>14</v>
      </c>
      <c r="D17" s="95">
        <v>2</v>
      </c>
      <c r="E17" s="95">
        <v>0</v>
      </c>
      <c r="F17" s="375">
        <v>0</v>
      </c>
      <c r="G17" s="191">
        <f t="shared" si="1"/>
        <v>20</v>
      </c>
      <c r="H17" s="115">
        <f t="shared" si="0"/>
        <v>2.8328611898017</v>
      </c>
      <c r="I17" s="77" t="s">
        <v>262</v>
      </c>
    </row>
    <row r="18" spans="1:9" ht="19.5" customHeight="1" thickBot="1">
      <c r="A18" s="81" t="s">
        <v>18</v>
      </c>
      <c r="B18" s="374">
        <v>2</v>
      </c>
      <c r="C18" s="95">
        <v>4</v>
      </c>
      <c r="D18" s="95">
        <v>0</v>
      </c>
      <c r="E18" s="95">
        <v>0</v>
      </c>
      <c r="F18" s="375">
        <v>0</v>
      </c>
      <c r="G18" s="191">
        <f t="shared" si="1"/>
        <v>6</v>
      </c>
      <c r="H18" s="116">
        <f t="shared" si="0"/>
        <v>0.84985835694050993</v>
      </c>
      <c r="I18" s="79" t="s">
        <v>323</v>
      </c>
    </row>
    <row r="19" spans="1:9" ht="19.5" customHeight="1" thickBot="1">
      <c r="A19" s="379" t="s">
        <v>19</v>
      </c>
      <c r="B19" s="376">
        <v>0</v>
      </c>
      <c r="C19" s="377">
        <v>0</v>
      </c>
      <c r="D19" s="377">
        <v>0</v>
      </c>
      <c r="E19" s="377">
        <v>0</v>
      </c>
      <c r="F19" s="378">
        <v>0</v>
      </c>
      <c r="G19" s="191">
        <f t="shared" si="1"/>
        <v>0</v>
      </c>
      <c r="H19" s="380">
        <f t="shared" si="0"/>
        <v>0</v>
      </c>
      <c r="I19" s="381" t="s">
        <v>20</v>
      </c>
    </row>
    <row r="20" spans="1:9" ht="19.5" customHeight="1">
      <c r="A20" s="150" t="s">
        <v>21</v>
      </c>
      <c r="B20" s="382">
        <f t="shared" ref="B20:G20" si="2">SUM(B9:B19)</f>
        <v>175</v>
      </c>
      <c r="C20" s="382">
        <f t="shared" si="2"/>
        <v>417</v>
      </c>
      <c r="D20" s="382">
        <f t="shared" si="2"/>
        <v>81</v>
      </c>
      <c r="E20" s="382">
        <f t="shared" si="2"/>
        <v>33</v>
      </c>
      <c r="F20" s="382">
        <f t="shared" si="2"/>
        <v>0</v>
      </c>
      <c r="G20" s="382">
        <f t="shared" si="2"/>
        <v>706</v>
      </c>
      <c r="H20" s="149">
        <f t="shared" ref="H20" si="3">SUM(H9:H19)</f>
        <v>100.00000000000003</v>
      </c>
      <c r="I20" s="148" t="s">
        <v>176</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rightToLeft="1" view="pageBreakPreview" zoomScaleNormal="100" zoomScaleSheetLayoutView="100" workbookViewId="0">
      <selection activeCell="K17" sqref="K17"/>
    </sheetView>
  </sheetViews>
  <sheetFormatPr defaultColWidth="9.140625" defaultRowHeight="12.75"/>
  <cols>
    <col min="1" max="1" width="19.5703125" style="1" customWidth="1"/>
    <col min="2" max="7" width="13.85546875" style="1" customWidth="1"/>
    <col min="8" max="8" width="13.5703125" style="1" customWidth="1"/>
    <col min="9" max="9" width="19.7109375" style="1" customWidth="1"/>
    <col min="10" max="16384" width="9.140625" style="1"/>
  </cols>
  <sheetData>
    <row r="1" spans="1:9" ht="24" customHeight="1">
      <c r="A1" s="974" t="s">
        <v>526</v>
      </c>
      <c r="B1" s="974"/>
      <c r="C1" s="974"/>
      <c r="D1" s="974"/>
      <c r="E1" s="974"/>
      <c r="F1" s="974"/>
      <c r="G1" s="974"/>
      <c r="H1" s="974"/>
      <c r="I1" s="974"/>
    </row>
    <row r="2" spans="1:9" ht="15.75" customHeight="1">
      <c r="A2" s="983" t="s">
        <v>525</v>
      </c>
      <c r="B2" s="983"/>
      <c r="C2" s="983"/>
      <c r="D2" s="983"/>
      <c r="E2" s="983"/>
      <c r="F2" s="983"/>
      <c r="G2" s="983"/>
      <c r="H2" s="983"/>
      <c r="I2" s="983"/>
    </row>
    <row r="3" spans="1:9" ht="15.75" customHeight="1">
      <c r="A3" s="983">
        <v>2015</v>
      </c>
      <c r="B3" s="983"/>
      <c r="C3" s="983"/>
      <c r="D3" s="983"/>
      <c r="E3" s="983"/>
      <c r="F3" s="983"/>
      <c r="G3" s="983"/>
      <c r="H3" s="983"/>
      <c r="I3" s="983"/>
    </row>
    <row r="4" spans="1:9" ht="18.75" customHeight="1">
      <c r="A4" s="983" t="s">
        <v>335</v>
      </c>
      <c r="B4" s="983"/>
      <c r="C4" s="983"/>
      <c r="D4" s="983"/>
      <c r="E4" s="983"/>
      <c r="F4" s="983"/>
      <c r="G4" s="983"/>
      <c r="H4" s="983"/>
      <c r="I4" s="983"/>
    </row>
    <row r="5" spans="1:9" ht="18.75" customHeight="1">
      <c r="A5" s="647"/>
      <c r="B5" s="647"/>
      <c r="C5" s="647"/>
      <c r="D5" s="647"/>
      <c r="E5" s="647"/>
      <c r="F5" s="691"/>
      <c r="G5" s="647"/>
      <c r="H5" s="647"/>
      <c r="I5" s="647"/>
    </row>
    <row r="6" spans="1:9" s="93" customFormat="1" ht="16.5">
      <c r="A6" s="636" t="s">
        <v>553</v>
      </c>
      <c r="B6" s="637"/>
      <c r="C6" s="638"/>
      <c r="D6" s="638"/>
      <c r="E6" s="638"/>
      <c r="F6" s="638"/>
      <c r="G6" s="643"/>
      <c r="H6" s="643"/>
      <c r="I6" s="643" t="s">
        <v>552</v>
      </c>
    </row>
    <row r="7" spans="1:9" ht="27.75" customHeight="1" thickBot="1">
      <c r="A7" s="937" t="s">
        <v>524</v>
      </c>
      <c r="B7" s="1026" t="s">
        <v>508</v>
      </c>
      <c r="C7" s="1026"/>
      <c r="D7" s="1026"/>
      <c r="E7" s="1026"/>
      <c r="F7" s="1026"/>
      <c r="G7" s="1026"/>
      <c r="H7" s="980" t="s">
        <v>523</v>
      </c>
      <c r="I7" s="1028" t="s">
        <v>522</v>
      </c>
    </row>
    <row r="8" spans="1:9" ht="57.75" customHeight="1">
      <c r="A8" s="979"/>
      <c r="B8" s="621" t="s">
        <v>951</v>
      </c>
      <c r="C8" s="621" t="s">
        <v>952</v>
      </c>
      <c r="D8" s="621" t="s">
        <v>953</v>
      </c>
      <c r="E8" s="621" t="s">
        <v>954</v>
      </c>
      <c r="F8" s="690" t="s">
        <v>293</v>
      </c>
      <c r="G8" s="576" t="s">
        <v>241</v>
      </c>
      <c r="H8" s="981"/>
      <c r="I8" s="1030"/>
    </row>
    <row r="9" spans="1:9" ht="19.5" customHeight="1" thickBot="1">
      <c r="A9" s="92">
        <v>-20</v>
      </c>
      <c r="B9" s="366">
        <v>4</v>
      </c>
      <c r="C9" s="97">
        <v>10</v>
      </c>
      <c r="D9" s="97">
        <v>7</v>
      </c>
      <c r="E9" s="97">
        <v>0</v>
      </c>
      <c r="F9" s="367">
        <v>0</v>
      </c>
      <c r="G9" s="191">
        <f>SUM(B9:F9)</f>
        <v>21</v>
      </c>
      <c r="H9" s="372">
        <f t="shared" ref="H9:H19" si="0">G9/$G$20%</f>
        <v>3.4941763727121464</v>
      </c>
      <c r="I9" s="91">
        <v>-20</v>
      </c>
    </row>
    <row r="10" spans="1:9" ht="19.5" customHeight="1" thickBot="1">
      <c r="A10" s="81" t="s">
        <v>311</v>
      </c>
      <c r="B10" s="374">
        <v>26</v>
      </c>
      <c r="C10" s="95">
        <v>47</v>
      </c>
      <c r="D10" s="95">
        <v>17</v>
      </c>
      <c r="E10" s="95">
        <v>2</v>
      </c>
      <c r="F10" s="375">
        <v>0</v>
      </c>
      <c r="G10" s="191">
        <f t="shared" ref="G10:G19" si="1">SUM(B10:F10)</f>
        <v>92</v>
      </c>
      <c r="H10" s="116">
        <f t="shared" si="0"/>
        <v>15.307820299500833</v>
      </c>
      <c r="I10" s="79" t="s">
        <v>269</v>
      </c>
    </row>
    <row r="11" spans="1:9" ht="19.5" customHeight="1" thickBot="1">
      <c r="A11" s="78" t="s">
        <v>310</v>
      </c>
      <c r="B11" s="374">
        <v>33</v>
      </c>
      <c r="C11" s="95">
        <v>94</v>
      </c>
      <c r="D11" s="95">
        <v>40</v>
      </c>
      <c r="E11" s="95">
        <v>5</v>
      </c>
      <c r="F11" s="375">
        <v>0</v>
      </c>
      <c r="G11" s="191">
        <f t="shared" si="1"/>
        <v>172</v>
      </c>
      <c r="H11" s="115">
        <f t="shared" si="0"/>
        <v>28.618968386023294</v>
      </c>
      <c r="I11" s="77" t="s">
        <v>268</v>
      </c>
    </row>
    <row r="12" spans="1:9" ht="19.5" customHeight="1" thickBot="1">
      <c r="A12" s="81" t="s">
        <v>309</v>
      </c>
      <c r="B12" s="374">
        <v>24</v>
      </c>
      <c r="C12" s="95">
        <v>80</v>
      </c>
      <c r="D12" s="95">
        <v>19</v>
      </c>
      <c r="E12" s="95">
        <v>5</v>
      </c>
      <c r="F12" s="375">
        <v>0</v>
      </c>
      <c r="G12" s="191">
        <f t="shared" si="1"/>
        <v>128</v>
      </c>
      <c r="H12" s="116">
        <f t="shared" si="0"/>
        <v>21.297836938435942</v>
      </c>
      <c r="I12" s="79" t="s">
        <v>267</v>
      </c>
    </row>
    <row r="13" spans="1:9" ht="19.5" customHeight="1" thickBot="1">
      <c r="A13" s="78" t="s">
        <v>308</v>
      </c>
      <c r="B13" s="374">
        <v>15</v>
      </c>
      <c r="C13" s="95">
        <v>59</v>
      </c>
      <c r="D13" s="95">
        <v>17</v>
      </c>
      <c r="E13" s="95">
        <v>7</v>
      </c>
      <c r="F13" s="375">
        <v>0</v>
      </c>
      <c r="G13" s="191">
        <f t="shared" si="1"/>
        <v>98</v>
      </c>
      <c r="H13" s="115">
        <f t="shared" si="0"/>
        <v>16.306156405990016</v>
      </c>
      <c r="I13" s="77" t="s">
        <v>266</v>
      </c>
    </row>
    <row r="14" spans="1:9" ht="19.5" customHeight="1" thickBot="1">
      <c r="A14" s="81" t="s">
        <v>307</v>
      </c>
      <c r="B14" s="374">
        <v>1</v>
      </c>
      <c r="C14" s="95">
        <v>22</v>
      </c>
      <c r="D14" s="95">
        <v>10</v>
      </c>
      <c r="E14" s="95">
        <v>2</v>
      </c>
      <c r="F14" s="375">
        <v>0</v>
      </c>
      <c r="G14" s="191">
        <f t="shared" si="1"/>
        <v>35</v>
      </c>
      <c r="H14" s="116">
        <f t="shared" si="0"/>
        <v>5.8236272878535775</v>
      </c>
      <c r="I14" s="79" t="s">
        <v>265</v>
      </c>
    </row>
    <row r="15" spans="1:9" ht="19.5" customHeight="1" thickBot="1">
      <c r="A15" s="78" t="s">
        <v>306</v>
      </c>
      <c r="B15" s="374">
        <v>3</v>
      </c>
      <c r="C15" s="95">
        <v>18</v>
      </c>
      <c r="D15" s="95">
        <v>2</v>
      </c>
      <c r="E15" s="95">
        <v>3</v>
      </c>
      <c r="F15" s="375">
        <v>0</v>
      </c>
      <c r="G15" s="191">
        <f t="shared" si="1"/>
        <v>26</v>
      </c>
      <c r="H15" s="115">
        <f t="shared" si="0"/>
        <v>4.3261231281198</v>
      </c>
      <c r="I15" s="77" t="s">
        <v>264</v>
      </c>
    </row>
    <row r="16" spans="1:9" ht="19.5" customHeight="1" thickBot="1">
      <c r="A16" s="81" t="s">
        <v>305</v>
      </c>
      <c r="B16" s="374">
        <v>5</v>
      </c>
      <c r="C16" s="95">
        <v>12</v>
      </c>
      <c r="D16" s="95">
        <v>0</v>
      </c>
      <c r="E16" s="95">
        <v>0</v>
      </c>
      <c r="F16" s="375">
        <v>0</v>
      </c>
      <c r="G16" s="191">
        <f t="shared" si="1"/>
        <v>17</v>
      </c>
      <c r="H16" s="116">
        <f t="shared" si="0"/>
        <v>2.8286189683860234</v>
      </c>
      <c r="I16" s="79" t="s">
        <v>263</v>
      </c>
    </row>
    <row r="17" spans="1:9" ht="19.5" customHeight="1" thickBot="1">
      <c r="A17" s="78" t="s">
        <v>304</v>
      </c>
      <c r="B17" s="374">
        <v>3</v>
      </c>
      <c r="C17" s="95">
        <v>6</v>
      </c>
      <c r="D17" s="95">
        <v>0</v>
      </c>
      <c r="E17" s="95">
        <v>0</v>
      </c>
      <c r="F17" s="375">
        <v>0</v>
      </c>
      <c r="G17" s="191">
        <f t="shared" si="1"/>
        <v>9</v>
      </c>
      <c r="H17" s="115">
        <f t="shared" si="0"/>
        <v>1.497504159733777</v>
      </c>
      <c r="I17" s="77" t="s">
        <v>262</v>
      </c>
    </row>
    <row r="18" spans="1:9" ht="19.5" customHeight="1" thickBot="1">
      <c r="A18" s="81" t="s">
        <v>18</v>
      </c>
      <c r="B18" s="374">
        <v>0</v>
      </c>
      <c r="C18" s="95">
        <v>2</v>
      </c>
      <c r="D18" s="95">
        <v>0</v>
      </c>
      <c r="E18" s="95">
        <v>1</v>
      </c>
      <c r="F18" s="375">
        <v>0</v>
      </c>
      <c r="G18" s="191">
        <f t="shared" si="1"/>
        <v>3</v>
      </c>
      <c r="H18" s="116">
        <f t="shared" si="0"/>
        <v>0.49916805324459235</v>
      </c>
      <c r="I18" s="79" t="s">
        <v>323</v>
      </c>
    </row>
    <row r="19" spans="1:9" ht="19.5" customHeight="1" thickBot="1">
      <c r="A19" s="379" t="s">
        <v>19</v>
      </c>
      <c r="B19" s="376">
        <v>0</v>
      </c>
      <c r="C19" s="377">
        <v>0</v>
      </c>
      <c r="D19" s="377">
        <v>0</v>
      </c>
      <c r="E19" s="377">
        <v>0</v>
      </c>
      <c r="F19" s="378">
        <v>0</v>
      </c>
      <c r="G19" s="191">
        <f t="shared" si="1"/>
        <v>0</v>
      </c>
      <c r="H19" s="380">
        <f t="shared" si="0"/>
        <v>0</v>
      </c>
      <c r="I19" s="381" t="s">
        <v>20</v>
      </c>
    </row>
    <row r="20" spans="1:9" ht="19.5" customHeight="1">
      <c r="A20" s="150" t="s">
        <v>21</v>
      </c>
      <c r="B20" s="382">
        <f t="shared" ref="B20:G20" si="2">SUM(B9:B19)</f>
        <v>114</v>
      </c>
      <c r="C20" s="382">
        <f t="shared" si="2"/>
        <v>350</v>
      </c>
      <c r="D20" s="382">
        <f t="shared" si="2"/>
        <v>112</v>
      </c>
      <c r="E20" s="382">
        <f t="shared" si="2"/>
        <v>25</v>
      </c>
      <c r="F20" s="382">
        <f t="shared" si="2"/>
        <v>0</v>
      </c>
      <c r="G20" s="382">
        <f t="shared" si="2"/>
        <v>601</v>
      </c>
      <c r="H20" s="149">
        <f t="shared" ref="H20" si="3">SUM(H9:H19)</f>
        <v>100.00000000000001</v>
      </c>
      <c r="I20" s="148" t="s">
        <v>176</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rightToLeft="1" view="pageBreakPreview" zoomScaleNormal="100" zoomScaleSheetLayoutView="100" workbookViewId="0">
      <selection activeCell="K17" sqref="K17"/>
    </sheetView>
  </sheetViews>
  <sheetFormatPr defaultColWidth="9.140625" defaultRowHeight="12.75"/>
  <cols>
    <col min="1" max="1" width="19.5703125" style="1" customWidth="1"/>
    <col min="2" max="7" width="13.85546875" style="1" customWidth="1"/>
    <col min="8" max="8" width="13.5703125" style="1" customWidth="1"/>
    <col min="9" max="9" width="19.7109375" style="1" customWidth="1"/>
    <col min="10" max="16384" width="9.140625" style="1"/>
  </cols>
  <sheetData>
    <row r="1" spans="1:9" ht="24" customHeight="1">
      <c r="A1" s="974" t="s">
        <v>526</v>
      </c>
      <c r="B1" s="974"/>
      <c r="C1" s="974"/>
      <c r="D1" s="974"/>
      <c r="E1" s="974"/>
      <c r="F1" s="974"/>
      <c r="G1" s="974"/>
      <c r="H1" s="974"/>
      <c r="I1" s="974"/>
    </row>
    <row r="2" spans="1:9" ht="15.75" customHeight="1">
      <c r="A2" s="983" t="s">
        <v>525</v>
      </c>
      <c r="B2" s="983"/>
      <c r="C2" s="983"/>
      <c r="D2" s="983"/>
      <c r="E2" s="983"/>
      <c r="F2" s="983"/>
      <c r="G2" s="983"/>
      <c r="H2" s="983"/>
      <c r="I2" s="983"/>
    </row>
    <row r="3" spans="1:9" ht="15.75" customHeight="1">
      <c r="A3" s="983">
        <v>2015</v>
      </c>
      <c r="B3" s="983"/>
      <c r="C3" s="983"/>
      <c r="D3" s="983"/>
      <c r="E3" s="983"/>
      <c r="F3" s="983"/>
      <c r="G3" s="983"/>
      <c r="H3" s="983"/>
      <c r="I3" s="983"/>
    </row>
    <row r="4" spans="1:9" ht="18.75" customHeight="1">
      <c r="A4" s="983" t="s">
        <v>1</v>
      </c>
      <c r="B4" s="983"/>
      <c r="C4" s="983"/>
      <c r="D4" s="983"/>
      <c r="E4" s="983"/>
      <c r="F4" s="983"/>
      <c r="G4" s="983"/>
      <c r="H4" s="983"/>
      <c r="I4" s="983"/>
    </row>
    <row r="5" spans="1:9" ht="18.75" customHeight="1">
      <c r="A5" s="647"/>
      <c r="B5" s="647"/>
      <c r="C5" s="647"/>
      <c r="D5" s="647"/>
      <c r="E5" s="647"/>
      <c r="F5" s="691"/>
      <c r="G5" s="647"/>
      <c r="H5" s="647"/>
      <c r="I5" s="647"/>
    </row>
    <row r="6" spans="1:9" s="93" customFormat="1" ht="16.5">
      <c r="A6" s="636" t="s">
        <v>555</v>
      </c>
      <c r="B6" s="637"/>
      <c r="C6" s="638"/>
      <c r="D6" s="638"/>
      <c r="E6" s="638"/>
      <c r="F6" s="638"/>
      <c r="G6" s="643"/>
      <c r="H6" s="643"/>
      <c r="I6" s="643" t="s">
        <v>554</v>
      </c>
    </row>
    <row r="7" spans="1:9" ht="27.75" customHeight="1" thickBot="1">
      <c r="A7" s="937" t="s">
        <v>524</v>
      </c>
      <c r="B7" s="1026" t="s">
        <v>508</v>
      </c>
      <c r="C7" s="1026"/>
      <c r="D7" s="1026"/>
      <c r="E7" s="1026"/>
      <c r="F7" s="1026"/>
      <c r="G7" s="1026"/>
      <c r="H7" s="980" t="s">
        <v>523</v>
      </c>
      <c r="I7" s="1028" t="s">
        <v>522</v>
      </c>
    </row>
    <row r="8" spans="1:9" ht="57.75" customHeight="1">
      <c r="A8" s="979"/>
      <c r="B8" s="621" t="s">
        <v>951</v>
      </c>
      <c r="C8" s="621" t="s">
        <v>952</v>
      </c>
      <c r="D8" s="621" t="s">
        <v>953</v>
      </c>
      <c r="E8" s="621" t="s">
        <v>954</v>
      </c>
      <c r="F8" s="690" t="s">
        <v>293</v>
      </c>
      <c r="G8" s="576" t="s">
        <v>241</v>
      </c>
      <c r="H8" s="981"/>
      <c r="I8" s="1030"/>
    </row>
    <row r="9" spans="1:9" ht="19.5" customHeight="1" thickBot="1">
      <c r="A9" s="92">
        <v>-20</v>
      </c>
      <c r="B9" s="366">
        <v>20</v>
      </c>
      <c r="C9" s="97">
        <v>21</v>
      </c>
      <c r="D9" s="97">
        <v>11</v>
      </c>
      <c r="E9" s="97">
        <v>0</v>
      </c>
      <c r="F9" s="367">
        <v>0</v>
      </c>
      <c r="G9" s="191">
        <f>SUM(B9:F9)</f>
        <v>52</v>
      </c>
      <c r="H9" s="372">
        <f t="shared" ref="H9:H19" si="0">G9/$G$20%</f>
        <v>3.9785768936495791</v>
      </c>
      <c r="I9" s="91">
        <v>-20</v>
      </c>
    </row>
    <row r="10" spans="1:9" ht="19.5" customHeight="1" thickBot="1">
      <c r="A10" s="81" t="s">
        <v>311</v>
      </c>
      <c r="B10" s="374">
        <v>89</v>
      </c>
      <c r="C10" s="95">
        <v>138</v>
      </c>
      <c r="D10" s="95">
        <v>40</v>
      </c>
      <c r="E10" s="95">
        <v>7</v>
      </c>
      <c r="F10" s="375">
        <v>0</v>
      </c>
      <c r="G10" s="191">
        <f t="shared" ref="G10:G19" si="1">SUM(B10:F10)</f>
        <v>274</v>
      </c>
      <c r="H10" s="116">
        <f t="shared" si="0"/>
        <v>20.964039785768936</v>
      </c>
      <c r="I10" s="79" t="s">
        <v>269</v>
      </c>
    </row>
    <row r="11" spans="1:9" ht="19.5" customHeight="1" thickBot="1">
      <c r="A11" s="78" t="s">
        <v>310</v>
      </c>
      <c r="B11" s="374">
        <v>81</v>
      </c>
      <c r="C11" s="95">
        <v>193</v>
      </c>
      <c r="D11" s="95">
        <v>62</v>
      </c>
      <c r="E11" s="95">
        <v>16</v>
      </c>
      <c r="F11" s="375">
        <v>0</v>
      </c>
      <c r="G11" s="191">
        <f t="shared" si="1"/>
        <v>352</v>
      </c>
      <c r="H11" s="115">
        <f t="shared" si="0"/>
        <v>26.931905126243304</v>
      </c>
      <c r="I11" s="77" t="s">
        <v>268</v>
      </c>
    </row>
    <row r="12" spans="1:9" ht="19.5" customHeight="1" thickBot="1">
      <c r="A12" s="81" t="s">
        <v>309</v>
      </c>
      <c r="B12" s="374">
        <v>42</v>
      </c>
      <c r="C12" s="95">
        <v>148</v>
      </c>
      <c r="D12" s="95">
        <v>34</v>
      </c>
      <c r="E12" s="95">
        <v>8</v>
      </c>
      <c r="F12" s="375">
        <v>0</v>
      </c>
      <c r="G12" s="191">
        <f t="shared" si="1"/>
        <v>232</v>
      </c>
      <c r="H12" s="116">
        <f t="shared" si="0"/>
        <v>17.750573833205813</v>
      </c>
      <c r="I12" s="79" t="s">
        <v>267</v>
      </c>
    </row>
    <row r="13" spans="1:9" ht="19.5" customHeight="1" thickBot="1">
      <c r="A13" s="78" t="s">
        <v>308</v>
      </c>
      <c r="B13" s="374">
        <v>26</v>
      </c>
      <c r="C13" s="95">
        <v>111</v>
      </c>
      <c r="D13" s="95">
        <v>23</v>
      </c>
      <c r="E13" s="95">
        <v>12</v>
      </c>
      <c r="F13" s="375">
        <v>0</v>
      </c>
      <c r="G13" s="191">
        <f t="shared" si="1"/>
        <v>172</v>
      </c>
      <c r="H13" s="115">
        <f t="shared" si="0"/>
        <v>13.159908186687069</v>
      </c>
      <c r="I13" s="77" t="s">
        <v>266</v>
      </c>
    </row>
    <row r="14" spans="1:9" ht="19.5" customHeight="1" thickBot="1">
      <c r="A14" s="81" t="s">
        <v>307</v>
      </c>
      <c r="B14" s="374">
        <v>11</v>
      </c>
      <c r="C14" s="95">
        <v>47</v>
      </c>
      <c r="D14" s="95">
        <v>17</v>
      </c>
      <c r="E14" s="95">
        <v>6</v>
      </c>
      <c r="F14" s="375">
        <v>0</v>
      </c>
      <c r="G14" s="191">
        <f t="shared" si="1"/>
        <v>81</v>
      </c>
      <c r="H14" s="116">
        <f t="shared" si="0"/>
        <v>6.1973986228003062</v>
      </c>
      <c r="I14" s="79" t="s">
        <v>265</v>
      </c>
    </row>
    <row r="15" spans="1:9" ht="19.5" customHeight="1" thickBot="1">
      <c r="A15" s="78" t="s">
        <v>306</v>
      </c>
      <c r="B15" s="374">
        <v>4</v>
      </c>
      <c r="C15" s="95">
        <v>51</v>
      </c>
      <c r="D15" s="95">
        <v>4</v>
      </c>
      <c r="E15" s="95">
        <v>8</v>
      </c>
      <c r="F15" s="375">
        <v>0</v>
      </c>
      <c r="G15" s="191">
        <f t="shared" si="1"/>
        <v>67</v>
      </c>
      <c r="H15" s="115">
        <f t="shared" si="0"/>
        <v>5.1262433052792655</v>
      </c>
      <c r="I15" s="77" t="s">
        <v>264</v>
      </c>
    </row>
    <row r="16" spans="1:9" ht="19.5" customHeight="1" thickBot="1">
      <c r="A16" s="81" t="s">
        <v>305</v>
      </c>
      <c r="B16" s="374">
        <v>7</v>
      </c>
      <c r="C16" s="95">
        <v>32</v>
      </c>
      <c r="D16" s="95">
        <v>0</v>
      </c>
      <c r="E16" s="95">
        <v>0</v>
      </c>
      <c r="F16" s="375">
        <v>0</v>
      </c>
      <c r="G16" s="191">
        <f t="shared" si="1"/>
        <v>39</v>
      </c>
      <c r="H16" s="116">
        <f t="shared" si="0"/>
        <v>2.9839326702371842</v>
      </c>
      <c r="I16" s="79" t="s">
        <v>263</v>
      </c>
    </row>
    <row r="17" spans="1:9" ht="19.5" customHeight="1" thickBot="1">
      <c r="A17" s="78" t="s">
        <v>304</v>
      </c>
      <c r="B17" s="374">
        <v>7</v>
      </c>
      <c r="C17" s="95">
        <v>20</v>
      </c>
      <c r="D17" s="95">
        <v>2</v>
      </c>
      <c r="E17" s="95">
        <v>0</v>
      </c>
      <c r="F17" s="375">
        <v>0</v>
      </c>
      <c r="G17" s="191">
        <f t="shared" si="1"/>
        <v>29</v>
      </c>
      <c r="H17" s="115">
        <f t="shared" si="0"/>
        <v>2.2188217291507266</v>
      </c>
      <c r="I17" s="77" t="s">
        <v>262</v>
      </c>
    </row>
    <row r="18" spans="1:9" ht="19.5" customHeight="1" thickBot="1">
      <c r="A18" s="81" t="s">
        <v>18</v>
      </c>
      <c r="B18" s="374">
        <v>2</v>
      </c>
      <c r="C18" s="95">
        <v>6</v>
      </c>
      <c r="D18" s="95">
        <v>0</v>
      </c>
      <c r="E18" s="95">
        <v>1</v>
      </c>
      <c r="F18" s="375">
        <v>0</v>
      </c>
      <c r="G18" s="191">
        <f t="shared" si="1"/>
        <v>9</v>
      </c>
      <c r="H18" s="116">
        <f t="shared" si="0"/>
        <v>0.68859984697781174</v>
      </c>
      <c r="I18" s="79" t="s">
        <v>323</v>
      </c>
    </row>
    <row r="19" spans="1:9" ht="19.5" customHeight="1" thickBot="1">
      <c r="A19" s="379" t="s">
        <v>19</v>
      </c>
      <c r="B19" s="376">
        <v>0</v>
      </c>
      <c r="C19" s="377">
        <v>0</v>
      </c>
      <c r="D19" s="377">
        <v>0</v>
      </c>
      <c r="E19" s="377">
        <v>0</v>
      </c>
      <c r="F19" s="378">
        <v>0</v>
      </c>
      <c r="G19" s="191">
        <f t="shared" si="1"/>
        <v>0</v>
      </c>
      <c r="H19" s="380">
        <f t="shared" si="0"/>
        <v>0</v>
      </c>
      <c r="I19" s="381" t="s">
        <v>20</v>
      </c>
    </row>
    <row r="20" spans="1:9" ht="19.5" customHeight="1">
      <c r="A20" s="150" t="s">
        <v>21</v>
      </c>
      <c r="B20" s="382">
        <f t="shared" ref="B20:G20" si="2">SUM(B9:B19)</f>
        <v>289</v>
      </c>
      <c r="C20" s="382">
        <f t="shared" si="2"/>
        <v>767</v>
      </c>
      <c r="D20" s="382">
        <f t="shared" si="2"/>
        <v>193</v>
      </c>
      <c r="E20" s="382">
        <f t="shared" si="2"/>
        <v>58</v>
      </c>
      <c r="F20" s="382">
        <f t="shared" si="2"/>
        <v>0</v>
      </c>
      <c r="G20" s="382">
        <f t="shared" si="2"/>
        <v>1307</v>
      </c>
      <c r="H20" s="149">
        <f t="shared" ref="H20" si="3">SUM(H9:H19)</f>
        <v>99.999999999999986</v>
      </c>
      <c r="I20" s="148" t="s">
        <v>176</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rightToLeft="1" view="pageBreakPreview" zoomScaleNormal="100" zoomScaleSheetLayoutView="100" workbookViewId="0">
      <selection activeCell="N13" sqref="N13"/>
    </sheetView>
  </sheetViews>
  <sheetFormatPr defaultColWidth="9.140625" defaultRowHeight="12.75"/>
  <cols>
    <col min="1" max="1" width="16.85546875" style="2" customWidth="1"/>
    <col min="2" max="2" width="10.5703125" style="2" customWidth="1"/>
    <col min="3" max="3" width="14.140625" style="2" customWidth="1"/>
    <col min="4" max="6" width="12.7109375" style="2" customWidth="1"/>
    <col min="7" max="7" width="11.85546875" style="2" customWidth="1"/>
    <col min="8" max="8" width="12.7109375" style="2" customWidth="1"/>
    <col min="9" max="9" width="12.7109375" style="1" customWidth="1"/>
    <col min="10" max="10" width="11.85546875" style="330" customWidth="1"/>
    <col min="11" max="11" width="24.7109375" style="2" customWidth="1"/>
    <col min="12" max="16384" width="9.140625" style="2"/>
  </cols>
  <sheetData>
    <row r="1" spans="1:11" ht="24" customHeight="1">
      <c r="A1" s="934" t="s">
        <v>790</v>
      </c>
      <c r="B1" s="934"/>
      <c r="C1" s="934"/>
      <c r="D1" s="994"/>
      <c r="E1" s="934"/>
      <c r="F1" s="934"/>
      <c r="G1" s="934"/>
      <c r="H1" s="934"/>
      <c r="I1" s="934"/>
      <c r="J1" s="934"/>
      <c r="K1" s="934"/>
    </row>
    <row r="2" spans="1:11" s="3" customFormat="1" ht="18" customHeight="1">
      <c r="A2" s="958" t="s">
        <v>998</v>
      </c>
      <c r="B2" s="958"/>
      <c r="C2" s="958"/>
      <c r="D2" s="958"/>
      <c r="E2" s="958"/>
      <c r="F2" s="958"/>
      <c r="G2" s="958"/>
      <c r="H2" s="958"/>
      <c r="I2" s="958"/>
      <c r="J2" s="958"/>
      <c r="K2" s="958"/>
    </row>
    <row r="3" spans="1:11" ht="15.75">
      <c r="A3" s="959">
        <v>2015</v>
      </c>
      <c r="B3" s="959"/>
      <c r="C3" s="959"/>
      <c r="D3" s="959"/>
      <c r="E3" s="959"/>
      <c r="F3" s="959"/>
      <c r="G3" s="959"/>
      <c r="H3" s="959"/>
      <c r="I3" s="959"/>
      <c r="J3" s="959"/>
      <c r="K3" s="959"/>
    </row>
    <row r="4" spans="1:11" ht="15.75">
      <c r="A4" s="959"/>
      <c r="B4" s="959"/>
      <c r="C4" s="959"/>
      <c r="D4" s="959"/>
      <c r="E4" s="959"/>
      <c r="F4" s="959"/>
      <c r="G4" s="959"/>
      <c r="H4" s="959"/>
      <c r="I4" s="959"/>
      <c r="J4" s="959"/>
      <c r="K4" s="959"/>
    </row>
    <row r="5" spans="1:11" ht="15.75">
      <c r="A5" s="648" t="s">
        <v>803</v>
      </c>
      <c r="B5" s="648"/>
      <c r="C5" s="653"/>
      <c r="D5" s="653"/>
      <c r="E5" s="653"/>
      <c r="F5" s="653"/>
      <c r="G5" s="653"/>
      <c r="H5" s="653"/>
      <c r="I5" s="643"/>
      <c r="J5" s="654"/>
      <c r="K5" s="650" t="s">
        <v>804</v>
      </c>
    </row>
    <row r="6" spans="1:11" ht="30.75" customHeight="1" thickBot="1">
      <c r="A6" s="985" t="s">
        <v>433</v>
      </c>
      <c r="B6" s="1000" t="s">
        <v>732</v>
      </c>
      <c r="C6" s="1020" t="s">
        <v>791</v>
      </c>
      <c r="D6" s="1020"/>
      <c r="E6" s="1020"/>
      <c r="F6" s="1020"/>
      <c r="G6" s="1020"/>
      <c r="H6" s="1020"/>
      <c r="I6" s="980" t="s">
        <v>793</v>
      </c>
      <c r="J6" s="1021" t="s">
        <v>785</v>
      </c>
      <c r="K6" s="997" t="s">
        <v>473</v>
      </c>
    </row>
    <row r="7" spans="1:11" ht="59.25" customHeight="1">
      <c r="A7" s="986"/>
      <c r="B7" s="1023"/>
      <c r="C7" s="621" t="s">
        <v>951</v>
      </c>
      <c r="D7" s="621" t="s">
        <v>952</v>
      </c>
      <c r="E7" s="621" t="s">
        <v>953</v>
      </c>
      <c r="F7" s="621" t="s">
        <v>954</v>
      </c>
      <c r="G7" s="690" t="s">
        <v>293</v>
      </c>
      <c r="H7" s="576" t="s">
        <v>241</v>
      </c>
      <c r="I7" s="981"/>
      <c r="J7" s="1038"/>
      <c r="K7" s="1037"/>
    </row>
    <row r="8" spans="1:11" ht="24.75" customHeight="1" thickBot="1">
      <c r="A8" s="1016" t="s">
        <v>462</v>
      </c>
      <c r="B8" s="540" t="s">
        <v>786</v>
      </c>
      <c r="C8" s="531">
        <v>147</v>
      </c>
      <c r="D8" s="331">
        <v>356</v>
      </c>
      <c r="E8" s="331">
        <v>0</v>
      </c>
      <c r="F8" s="331">
        <v>28</v>
      </c>
      <c r="G8" s="695">
        <v>0</v>
      </c>
      <c r="H8" s="543">
        <f>SUM(C8:G8)</f>
        <v>531</v>
      </c>
      <c r="I8" s="676">
        <f>H8/$H$16%</f>
        <v>52.1099116781158</v>
      </c>
      <c r="J8" s="335" t="s">
        <v>788</v>
      </c>
      <c r="K8" s="1015" t="s">
        <v>472</v>
      </c>
    </row>
    <row r="9" spans="1:11" ht="24.75" customHeight="1" thickBot="1">
      <c r="A9" s="1017"/>
      <c r="B9" s="541" t="s">
        <v>787</v>
      </c>
      <c r="C9" s="677">
        <v>9</v>
      </c>
      <c r="D9" s="678">
        <v>18</v>
      </c>
      <c r="E9" s="678">
        <v>70</v>
      </c>
      <c r="F9" s="678">
        <v>2</v>
      </c>
      <c r="G9" s="696">
        <v>0</v>
      </c>
      <c r="H9" s="543">
        <f t="shared" ref="H9:H15" si="0">SUM(C9:G9)</f>
        <v>99</v>
      </c>
      <c r="I9" s="676">
        <f>H9/$H$17%</f>
        <v>35.483870967741936</v>
      </c>
      <c r="J9" s="336" t="s">
        <v>789</v>
      </c>
      <c r="K9" s="1013"/>
    </row>
    <row r="10" spans="1:11" ht="24.75" customHeight="1" thickBot="1">
      <c r="A10" s="1018" t="s">
        <v>471</v>
      </c>
      <c r="B10" s="542" t="s">
        <v>786</v>
      </c>
      <c r="C10" s="679">
        <v>32</v>
      </c>
      <c r="D10" s="680">
        <v>119</v>
      </c>
      <c r="E10" s="680">
        <v>0</v>
      </c>
      <c r="F10" s="680">
        <v>7</v>
      </c>
      <c r="G10" s="697">
        <v>0</v>
      </c>
      <c r="H10" s="543">
        <f t="shared" si="0"/>
        <v>158</v>
      </c>
      <c r="I10" s="681">
        <f>H10/$H$16%</f>
        <v>15.505397448478902</v>
      </c>
      <c r="J10" s="337" t="s">
        <v>788</v>
      </c>
      <c r="K10" s="1012" t="s">
        <v>470</v>
      </c>
    </row>
    <row r="11" spans="1:11" ht="24.75" customHeight="1" thickBot="1">
      <c r="A11" s="1018"/>
      <c r="B11" s="542" t="s">
        <v>787</v>
      </c>
      <c r="C11" s="679">
        <v>1</v>
      </c>
      <c r="D11" s="680">
        <v>2</v>
      </c>
      <c r="E11" s="680">
        <v>15</v>
      </c>
      <c r="F11" s="680">
        <v>0</v>
      </c>
      <c r="G11" s="697">
        <v>0</v>
      </c>
      <c r="H11" s="543">
        <f t="shared" si="0"/>
        <v>18</v>
      </c>
      <c r="I11" s="681">
        <f>H11/$H$17%</f>
        <v>6.4516129032258061</v>
      </c>
      <c r="J11" s="337" t="s">
        <v>789</v>
      </c>
      <c r="K11" s="1012"/>
    </row>
    <row r="12" spans="1:11" ht="24.75" customHeight="1" thickBot="1">
      <c r="A12" s="1017" t="s">
        <v>460</v>
      </c>
      <c r="B12" s="541" t="s">
        <v>786</v>
      </c>
      <c r="C12" s="677">
        <v>14</v>
      </c>
      <c r="D12" s="678">
        <v>33</v>
      </c>
      <c r="E12" s="678">
        <v>0</v>
      </c>
      <c r="F12" s="678">
        <v>1</v>
      </c>
      <c r="G12" s="696">
        <v>0</v>
      </c>
      <c r="H12" s="543">
        <f t="shared" si="0"/>
        <v>48</v>
      </c>
      <c r="I12" s="676">
        <f>H12/$H$16%</f>
        <v>4.7105004906771351</v>
      </c>
      <c r="J12" s="336" t="s">
        <v>788</v>
      </c>
      <c r="K12" s="1013" t="s">
        <v>469</v>
      </c>
    </row>
    <row r="13" spans="1:11" ht="24.75" customHeight="1" thickBot="1">
      <c r="A13" s="1017"/>
      <c r="B13" s="541" t="s">
        <v>787</v>
      </c>
      <c r="C13" s="677">
        <v>3</v>
      </c>
      <c r="D13" s="678">
        <v>8</v>
      </c>
      <c r="E13" s="678">
        <v>10</v>
      </c>
      <c r="F13" s="678">
        <v>0</v>
      </c>
      <c r="G13" s="696">
        <v>0</v>
      </c>
      <c r="H13" s="543">
        <f t="shared" si="0"/>
        <v>21</v>
      </c>
      <c r="I13" s="676">
        <f>H13/$H$17%</f>
        <v>7.5268817204301071</v>
      </c>
      <c r="J13" s="336" t="s">
        <v>789</v>
      </c>
      <c r="K13" s="1013"/>
    </row>
    <row r="14" spans="1:11" ht="24.75" customHeight="1" thickBot="1">
      <c r="A14" s="1018" t="s">
        <v>459</v>
      </c>
      <c r="B14" s="542" t="s">
        <v>786</v>
      </c>
      <c r="C14" s="679">
        <v>68</v>
      </c>
      <c r="D14" s="680">
        <v>197</v>
      </c>
      <c r="E14" s="680">
        <v>0</v>
      </c>
      <c r="F14" s="680">
        <v>17</v>
      </c>
      <c r="G14" s="697">
        <v>0</v>
      </c>
      <c r="H14" s="543">
        <f t="shared" si="0"/>
        <v>282</v>
      </c>
      <c r="I14" s="681">
        <f>H14/$H$16%</f>
        <v>27.674190382728167</v>
      </c>
      <c r="J14" s="337" t="s">
        <v>788</v>
      </c>
      <c r="K14" s="1012" t="s">
        <v>468</v>
      </c>
    </row>
    <row r="15" spans="1:11" ht="24.75" customHeight="1">
      <c r="A15" s="1031"/>
      <c r="B15" s="699" t="s">
        <v>787</v>
      </c>
      <c r="C15" s="700">
        <v>12</v>
      </c>
      <c r="D15" s="701">
        <v>31</v>
      </c>
      <c r="E15" s="701">
        <v>97</v>
      </c>
      <c r="F15" s="701">
        <v>1</v>
      </c>
      <c r="G15" s="702">
        <v>0</v>
      </c>
      <c r="H15" s="706">
        <f t="shared" si="0"/>
        <v>141</v>
      </c>
      <c r="I15" s="703">
        <f>H15/$H$17%</f>
        <v>50.537634408602152</v>
      </c>
      <c r="J15" s="704" t="s">
        <v>789</v>
      </c>
      <c r="K15" s="1032"/>
    </row>
    <row r="16" spans="1:11" ht="18" customHeight="1" thickBot="1">
      <c r="A16" s="1033" t="s">
        <v>354</v>
      </c>
      <c r="B16" s="707" t="s">
        <v>786</v>
      </c>
      <c r="C16" s="708">
        <f>C14+C12+C10+C8</f>
        <v>261</v>
      </c>
      <c r="D16" s="708">
        <f t="shared" ref="D16:H16" si="1">D14+D12+D10+D8</f>
        <v>705</v>
      </c>
      <c r="E16" s="708">
        <f t="shared" si="1"/>
        <v>0</v>
      </c>
      <c r="F16" s="708">
        <f t="shared" si="1"/>
        <v>53</v>
      </c>
      <c r="G16" s="708">
        <f t="shared" si="1"/>
        <v>0</v>
      </c>
      <c r="H16" s="782">
        <f t="shared" si="1"/>
        <v>1019</v>
      </c>
      <c r="I16" s="698">
        <f>H16/$H$16%</f>
        <v>100</v>
      </c>
      <c r="J16" s="709" t="s">
        <v>788</v>
      </c>
      <c r="K16" s="1035" t="s">
        <v>22</v>
      </c>
    </row>
    <row r="17" spans="1:11" ht="18" customHeight="1" thickBot="1">
      <c r="A17" s="1034"/>
      <c r="B17" s="710" t="s">
        <v>787</v>
      </c>
      <c r="C17" s="708">
        <f>C15+C13+C11+C9</f>
        <v>25</v>
      </c>
      <c r="D17" s="708">
        <f t="shared" ref="D17:H17" si="2">D15+D13+D11+D9</f>
        <v>59</v>
      </c>
      <c r="E17" s="708">
        <f t="shared" si="2"/>
        <v>192</v>
      </c>
      <c r="F17" s="708">
        <f t="shared" si="2"/>
        <v>3</v>
      </c>
      <c r="G17" s="708">
        <f t="shared" si="2"/>
        <v>0</v>
      </c>
      <c r="H17" s="708">
        <f t="shared" si="2"/>
        <v>279</v>
      </c>
      <c r="I17" s="676">
        <f>H17/$H$17%</f>
        <v>100</v>
      </c>
      <c r="J17" s="711" t="s">
        <v>789</v>
      </c>
      <c r="K17" s="1036"/>
    </row>
    <row r="18" spans="1:11" ht="18" customHeight="1" thickBot="1">
      <c r="A18" s="1034"/>
      <c r="B18" s="710" t="s">
        <v>19</v>
      </c>
      <c r="C18" s="708">
        <v>3</v>
      </c>
      <c r="D18" s="712">
        <v>3</v>
      </c>
      <c r="E18" s="712">
        <v>1</v>
      </c>
      <c r="F18" s="712">
        <v>2</v>
      </c>
      <c r="G18" s="706">
        <v>0</v>
      </c>
      <c r="H18" s="706">
        <f>Table_Default__XLS_TAB_27_283[[#This Row],[Column1]]+Table_Default__XLS_TAB_27_283[[#This Row],[BAAN_GREATER_CNT]]+Table_Default__XLS_TAB_27_283[[#This Row],[KHULLA_CNT]]+Table_Default__XLS_TAB_27_283[[#This Row],[RAJEE_CNT]]+Table_Default__XLS_TAB_27_283[[#This Row],[BAAN_SMALLER_CNT]]</f>
        <v>9</v>
      </c>
      <c r="I18" s="676"/>
      <c r="J18" s="711" t="s">
        <v>20</v>
      </c>
      <c r="K18" s="1036"/>
    </row>
    <row r="19" spans="1:11" ht="18" customHeight="1">
      <c r="A19" s="1011"/>
      <c r="B19" s="713" t="s">
        <v>423</v>
      </c>
      <c r="C19" s="521">
        <f>C16+C17+C18</f>
        <v>289</v>
      </c>
      <c r="D19" s="521">
        <f t="shared" ref="D19:G19" si="3">D16+D17+D18</f>
        <v>767</v>
      </c>
      <c r="E19" s="521">
        <f t="shared" si="3"/>
        <v>193</v>
      </c>
      <c r="F19" s="521">
        <f t="shared" si="3"/>
        <v>58</v>
      </c>
      <c r="G19" s="521">
        <f t="shared" si="3"/>
        <v>0</v>
      </c>
      <c r="H19" s="521">
        <f>+H18+H17+H16</f>
        <v>1307</v>
      </c>
      <c r="I19" s="682"/>
      <c r="J19" s="714" t="s">
        <v>792</v>
      </c>
      <c r="K19" s="996"/>
    </row>
    <row r="22" spans="1:11">
      <c r="C22" s="313"/>
      <c r="D22" s="313"/>
      <c r="E22" s="313"/>
      <c r="F22" s="313"/>
      <c r="G22" s="313"/>
      <c r="H22" s="313"/>
    </row>
    <row r="23" spans="1:11">
      <c r="A23" s="1"/>
      <c r="B23" s="1"/>
      <c r="C23" s="1"/>
    </row>
  </sheetData>
  <mergeCells count="20">
    <mergeCell ref="K6:K7"/>
    <mergeCell ref="A1:K1"/>
    <mergeCell ref="A2:K2"/>
    <mergeCell ref="A3:K3"/>
    <mergeCell ref="A4:K4"/>
    <mergeCell ref="A6:A7"/>
    <mergeCell ref="B6:B7"/>
    <mergeCell ref="C6:H6"/>
    <mergeCell ref="I6:I7"/>
    <mergeCell ref="J6:J7"/>
    <mergeCell ref="A14:A15"/>
    <mergeCell ref="K14:K15"/>
    <mergeCell ref="A16:A19"/>
    <mergeCell ref="K16:K19"/>
    <mergeCell ref="A8:A9"/>
    <mergeCell ref="K8:K9"/>
    <mergeCell ref="A10:A11"/>
    <mergeCell ref="K10:K11"/>
    <mergeCell ref="A12:A13"/>
    <mergeCell ref="K12:K13"/>
  </mergeCells>
  <printOptions horizontalCentered="1" verticalCentered="1"/>
  <pageMargins left="0" right="0" top="0" bottom="0" header="0" footer="0"/>
  <pageSetup paperSize="9" scale="90" orientation="landscape" r:id="rId1"/>
  <headerFooter alignWithMargins="0"/>
  <colBreaks count="1" manualBreakCount="1">
    <brk id="11" max="1048575" man="1"/>
  </colBreaks>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rightToLeft="1" view="pageBreakPreview" zoomScaleNormal="100" zoomScaleSheetLayoutView="100" workbookViewId="0">
      <selection activeCell="A3" sqref="A3:I3"/>
    </sheetView>
  </sheetViews>
  <sheetFormatPr defaultColWidth="9.140625" defaultRowHeight="12.75"/>
  <cols>
    <col min="1" max="1" width="18.42578125" style="1" customWidth="1"/>
    <col min="2" max="7" width="14.140625" style="1" customWidth="1"/>
    <col min="8" max="8" width="13.5703125" style="1" customWidth="1"/>
    <col min="9" max="9" width="23.5703125" style="1" customWidth="1"/>
    <col min="10" max="16384" width="9.140625" style="1"/>
  </cols>
  <sheetData>
    <row r="1" spans="1:11" ht="24" customHeight="1">
      <c r="A1" s="974" t="s">
        <v>543</v>
      </c>
      <c r="B1" s="974"/>
      <c r="C1" s="974"/>
      <c r="D1" s="974"/>
      <c r="E1" s="974"/>
      <c r="F1" s="974"/>
      <c r="G1" s="974"/>
      <c r="H1" s="974"/>
      <c r="I1" s="974"/>
    </row>
    <row r="2" spans="1:11" ht="15.75" customHeight="1">
      <c r="A2" s="983" t="s">
        <v>542</v>
      </c>
      <c r="B2" s="983"/>
      <c r="C2" s="983"/>
      <c r="D2" s="983"/>
      <c r="E2" s="983"/>
      <c r="F2" s="983"/>
      <c r="G2" s="983"/>
      <c r="H2" s="983"/>
      <c r="I2" s="983"/>
    </row>
    <row r="3" spans="1:11" ht="15.75" customHeight="1">
      <c r="A3" s="983">
        <v>2015</v>
      </c>
      <c r="B3" s="983"/>
      <c r="C3" s="983"/>
      <c r="D3" s="983"/>
      <c r="E3" s="983"/>
      <c r="F3" s="983"/>
      <c r="G3" s="983"/>
      <c r="H3" s="983"/>
      <c r="I3" s="983"/>
    </row>
    <row r="4" spans="1:11" ht="18.75" customHeight="1">
      <c r="A4" s="983" t="s">
        <v>173</v>
      </c>
      <c r="B4" s="983"/>
      <c r="C4" s="983"/>
      <c r="D4" s="983"/>
      <c r="E4" s="983"/>
      <c r="F4" s="983"/>
      <c r="G4" s="983"/>
      <c r="H4" s="983"/>
      <c r="I4" s="983"/>
    </row>
    <row r="5" spans="1:11" ht="18.75" customHeight="1">
      <c r="A5" s="647"/>
      <c r="B5" s="647"/>
      <c r="C5" s="647"/>
      <c r="D5" s="647"/>
      <c r="E5" s="647"/>
      <c r="F5" s="691"/>
      <c r="G5" s="647"/>
      <c r="H5" s="647"/>
      <c r="I5" s="647"/>
    </row>
    <row r="6" spans="1:11" s="93" customFormat="1" ht="16.5">
      <c r="A6" s="636" t="s">
        <v>865</v>
      </c>
      <c r="B6" s="637"/>
      <c r="C6" s="638"/>
      <c r="D6" s="638"/>
      <c r="E6" s="638"/>
      <c r="F6" s="638"/>
      <c r="G6" s="643"/>
      <c r="H6" s="643"/>
      <c r="I6" s="643" t="s">
        <v>866</v>
      </c>
    </row>
    <row r="7" spans="1:11" ht="27.75" customHeight="1" thickBot="1">
      <c r="A7" s="937" t="s">
        <v>539</v>
      </c>
      <c r="B7" s="1026" t="s">
        <v>508</v>
      </c>
      <c r="C7" s="1026"/>
      <c r="D7" s="1026"/>
      <c r="E7" s="1026"/>
      <c r="F7" s="1026"/>
      <c r="G7" s="1026"/>
      <c r="H7" s="980" t="s">
        <v>538</v>
      </c>
      <c r="I7" s="1028" t="s">
        <v>537</v>
      </c>
      <c r="K7" s="73"/>
    </row>
    <row r="8" spans="1:11" ht="60.75" customHeight="1">
      <c r="A8" s="939"/>
      <c r="B8" s="621" t="s">
        <v>951</v>
      </c>
      <c r="C8" s="621" t="s">
        <v>952</v>
      </c>
      <c r="D8" s="621" t="s">
        <v>953</v>
      </c>
      <c r="E8" s="621" t="s">
        <v>954</v>
      </c>
      <c r="F8" s="690" t="s">
        <v>293</v>
      </c>
      <c r="G8" s="576" t="s">
        <v>241</v>
      </c>
      <c r="H8" s="1027"/>
      <c r="I8" s="1029"/>
      <c r="K8" s="73"/>
    </row>
    <row r="9" spans="1:11" ht="16.5" thickBot="1">
      <c r="A9" s="85" t="s">
        <v>536</v>
      </c>
      <c r="B9" s="366">
        <v>143</v>
      </c>
      <c r="C9" s="97">
        <v>16</v>
      </c>
      <c r="D9" s="97">
        <v>39</v>
      </c>
      <c r="E9" s="97">
        <v>0</v>
      </c>
      <c r="F9" s="367">
        <v>0</v>
      </c>
      <c r="G9" s="191">
        <f>SUM(B9:F9)</f>
        <v>198</v>
      </c>
      <c r="H9" s="117">
        <f>G9/$G$21%</f>
        <v>24.535315985130111</v>
      </c>
      <c r="I9" s="82" t="s">
        <v>535</v>
      </c>
      <c r="K9" s="73"/>
    </row>
    <row r="10" spans="1:11" ht="16.5" thickBot="1">
      <c r="A10" s="81">
        <v>-1</v>
      </c>
      <c r="B10" s="366">
        <v>1</v>
      </c>
      <c r="C10" s="97">
        <v>75</v>
      </c>
      <c r="D10" s="97">
        <v>4</v>
      </c>
      <c r="E10" s="97">
        <v>3</v>
      </c>
      <c r="F10" s="367">
        <v>0</v>
      </c>
      <c r="G10" s="191">
        <f t="shared" ref="G10:G20" si="0">SUM(B10:F10)</f>
        <v>83</v>
      </c>
      <c r="H10" s="116">
        <f t="shared" ref="H10:H20" si="1">G10/$G$21%</f>
        <v>10.285006195786865</v>
      </c>
      <c r="I10" s="79">
        <v>-1</v>
      </c>
      <c r="K10" s="73"/>
    </row>
    <row r="11" spans="1:11" ht="16.5" thickBot="1">
      <c r="A11" s="78">
        <v>1</v>
      </c>
      <c r="B11" s="366">
        <v>5</v>
      </c>
      <c r="C11" s="97">
        <v>85</v>
      </c>
      <c r="D11" s="97">
        <v>7</v>
      </c>
      <c r="E11" s="97">
        <v>3</v>
      </c>
      <c r="F11" s="367">
        <v>0</v>
      </c>
      <c r="G11" s="191">
        <f t="shared" si="0"/>
        <v>100</v>
      </c>
      <c r="H11" s="115">
        <f t="shared" si="1"/>
        <v>12.391573729863692</v>
      </c>
      <c r="I11" s="77">
        <v>1</v>
      </c>
      <c r="K11" s="73"/>
    </row>
    <row r="12" spans="1:11" ht="16.5" thickBot="1">
      <c r="A12" s="81">
        <v>2</v>
      </c>
      <c r="B12" s="366">
        <v>8</v>
      </c>
      <c r="C12" s="97">
        <v>55</v>
      </c>
      <c r="D12" s="97">
        <v>5</v>
      </c>
      <c r="E12" s="97">
        <v>3</v>
      </c>
      <c r="F12" s="367">
        <v>0</v>
      </c>
      <c r="G12" s="191">
        <f t="shared" si="0"/>
        <v>71</v>
      </c>
      <c r="H12" s="116">
        <f t="shared" si="1"/>
        <v>8.7980173482032207</v>
      </c>
      <c r="I12" s="79">
        <v>2</v>
      </c>
      <c r="K12" s="73"/>
    </row>
    <row r="13" spans="1:11" ht="16.5" thickBot="1">
      <c r="A13" s="78">
        <v>3</v>
      </c>
      <c r="B13" s="366">
        <v>5</v>
      </c>
      <c r="C13" s="97">
        <v>33</v>
      </c>
      <c r="D13" s="97">
        <v>3</v>
      </c>
      <c r="E13" s="97">
        <v>1</v>
      </c>
      <c r="F13" s="367">
        <v>0</v>
      </c>
      <c r="G13" s="191">
        <f t="shared" si="0"/>
        <v>42</v>
      </c>
      <c r="H13" s="115">
        <f t="shared" si="1"/>
        <v>5.2044609665427508</v>
      </c>
      <c r="I13" s="77">
        <v>3</v>
      </c>
      <c r="K13" s="73"/>
    </row>
    <row r="14" spans="1:11" ht="16.5" thickBot="1">
      <c r="A14" s="81">
        <v>4</v>
      </c>
      <c r="B14" s="366">
        <v>2</v>
      </c>
      <c r="C14" s="97">
        <v>30</v>
      </c>
      <c r="D14" s="97">
        <v>2</v>
      </c>
      <c r="E14" s="97">
        <v>2</v>
      </c>
      <c r="F14" s="367">
        <v>0</v>
      </c>
      <c r="G14" s="191">
        <f t="shared" si="0"/>
        <v>36</v>
      </c>
      <c r="H14" s="116">
        <f t="shared" si="1"/>
        <v>4.4609665427509295</v>
      </c>
      <c r="I14" s="79">
        <v>4</v>
      </c>
      <c r="K14" s="73"/>
    </row>
    <row r="15" spans="1:11" ht="16.5" thickBot="1">
      <c r="A15" s="78" t="s">
        <v>534</v>
      </c>
      <c r="B15" s="366">
        <v>9</v>
      </c>
      <c r="C15" s="97">
        <v>85</v>
      </c>
      <c r="D15" s="97">
        <v>10</v>
      </c>
      <c r="E15" s="97">
        <v>13</v>
      </c>
      <c r="F15" s="367">
        <v>0</v>
      </c>
      <c r="G15" s="191">
        <f t="shared" si="0"/>
        <v>117</v>
      </c>
      <c r="H15" s="115">
        <f t="shared" si="1"/>
        <v>14.49814126394052</v>
      </c>
      <c r="I15" s="77" t="s">
        <v>533</v>
      </c>
      <c r="K15" s="73"/>
    </row>
    <row r="16" spans="1:11" ht="16.5" thickBot="1">
      <c r="A16" s="81" t="s">
        <v>532</v>
      </c>
      <c r="B16" s="366">
        <v>4</v>
      </c>
      <c r="C16" s="97">
        <v>51</v>
      </c>
      <c r="D16" s="97">
        <v>5</v>
      </c>
      <c r="E16" s="97">
        <v>7</v>
      </c>
      <c r="F16" s="367">
        <v>0</v>
      </c>
      <c r="G16" s="191">
        <f t="shared" si="0"/>
        <v>67</v>
      </c>
      <c r="H16" s="116">
        <f t="shared" si="1"/>
        <v>8.3023543990086743</v>
      </c>
      <c r="I16" s="79" t="s">
        <v>531</v>
      </c>
      <c r="K16" s="73"/>
    </row>
    <row r="17" spans="1:11" ht="16.5" thickBot="1">
      <c r="A17" s="78" t="s">
        <v>530</v>
      </c>
      <c r="B17" s="366">
        <v>4</v>
      </c>
      <c r="C17" s="97">
        <v>18</v>
      </c>
      <c r="D17" s="97">
        <v>4</v>
      </c>
      <c r="E17" s="97">
        <v>2</v>
      </c>
      <c r="F17" s="367">
        <v>0</v>
      </c>
      <c r="G17" s="191">
        <f t="shared" si="0"/>
        <v>28</v>
      </c>
      <c r="H17" s="115">
        <f t="shared" si="1"/>
        <v>3.4696406443618337</v>
      </c>
      <c r="I17" s="77" t="s">
        <v>276</v>
      </c>
      <c r="K17" s="73"/>
    </row>
    <row r="18" spans="1:11" ht="16.5" thickBot="1">
      <c r="A18" s="81" t="s">
        <v>311</v>
      </c>
      <c r="B18" s="366">
        <v>2</v>
      </c>
      <c r="C18" s="97">
        <v>9</v>
      </c>
      <c r="D18" s="97">
        <v>4</v>
      </c>
      <c r="E18" s="97">
        <v>3</v>
      </c>
      <c r="F18" s="367">
        <v>0</v>
      </c>
      <c r="G18" s="191">
        <f t="shared" si="0"/>
        <v>18</v>
      </c>
      <c r="H18" s="116">
        <f t="shared" si="1"/>
        <v>2.2304832713754648</v>
      </c>
      <c r="I18" s="79" t="s">
        <v>269</v>
      </c>
      <c r="K18" s="73"/>
    </row>
    <row r="19" spans="1:11" ht="16.5" thickBot="1">
      <c r="A19" s="78" t="s">
        <v>529</v>
      </c>
      <c r="B19" s="366">
        <v>6</v>
      </c>
      <c r="C19" s="97">
        <v>28</v>
      </c>
      <c r="D19" s="97">
        <v>2</v>
      </c>
      <c r="E19" s="97">
        <v>0</v>
      </c>
      <c r="F19" s="367">
        <v>0</v>
      </c>
      <c r="G19" s="191">
        <f t="shared" si="0"/>
        <v>36</v>
      </c>
      <c r="H19" s="115">
        <f t="shared" si="1"/>
        <v>4.4609665427509295</v>
      </c>
      <c r="I19" s="77" t="s">
        <v>529</v>
      </c>
    </row>
    <row r="20" spans="1:11" ht="16.5" thickBot="1">
      <c r="A20" s="147" t="s">
        <v>19</v>
      </c>
      <c r="B20" s="368">
        <v>1</v>
      </c>
      <c r="C20" s="369">
        <v>10</v>
      </c>
      <c r="D20" s="369">
        <v>0</v>
      </c>
      <c r="E20" s="369">
        <v>0</v>
      </c>
      <c r="F20" s="370">
        <v>0</v>
      </c>
      <c r="G20" s="191">
        <f t="shared" si="0"/>
        <v>11</v>
      </c>
      <c r="H20" s="114">
        <f t="shared" si="1"/>
        <v>1.3630731102850062</v>
      </c>
      <c r="I20" s="146" t="s">
        <v>20</v>
      </c>
    </row>
    <row r="21" spans="1:11" ht="20.100000000000001" customHeight="1" thickBot="1">
      <c r="A21" s="92" t="s">
        <v>21</v>
      </c>
      <c r="B21" s="392">
        <f>SUM(B9:B20)</f>
        <v>190</v>
      </c>
      <c r="C21" s="392">
        <f t="shared" ref="C21:G21" si="2">SUM(C9:C20)</f>
        <v>495</v>
      </c>
      <c r="D21" s="392">
        <f t="shared" si="2"/>
        <v>85</v>
      </c>
      <c r="E21" s="392">
        <f t="shared" si="2"/>
        <v>37</v>
      </c>
      <c r="F21" s="392">
        <f t="shared" si="2"/>
        <v>0</v>
      </c>
      <c r="G21" s="392">
        <f t="shared" si="2"/>
        <v>807</v>
      </c>
      <c r="H21" s="393">
        <f t="shared" ref="H21" si="3">SUM(H9:H20)</f>
        <v>99.999999999999986</v>
      </c>
      <c r="I21" s="91" t="s">
        <v>176</v>
      </c>
    </row>
    <row r="22" spans="1:11" ht="20.100000000000001" customHeight="1">
      <c r="A22" s="379" t="s">
        <v>528</v>
      </c>
      <c r="B22" s="394">
        <f>B21/$G$21%</f>
        <v>23.543990086741015</v>
      </c>
      <c r="C22" s="394">
        <f t="shared" ref="C22:G22" si="4">C21/$G$21%</f>
        <v>61.338289962825279</v>
      </c>
      <c r="D22" s="394">
        <f t="shared" si="4"/>
        <v>10.532837670384138</v>
      </c>
      <c r="E22" s="394">
        <f t="shared" si="4"/>
        <v>4.5848822800495661</v>
      </c>
      <c r="F22" s="394">
        <f t="shared" si="4"/>
        <v>0</v>
      </c>
      <c r="G22" s="394">
        <f t="shared" si="4"/>
        <v>100</v>
      </c>
      <c r="H22" s="394"/>
      <c r="I22" s="381" t="s">
        <v>527</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rightToLeft="1" view="pageBreakPreview" zoomScaleNormal="100" zoomScaleSheetLayoutView="100" workbookViewId="0">
      <selection activeCell="F20" sqref="F20"/>
    </sheetView>
  </sheetViews>
  <sheetFormatPr defaultColWidth="9.140625" defaultRowHeight="12.75"/>
  <cols>
    <col min="1" max="1" width="18.42578125" style="1" customWidth="1"/>
    <col min="2" max="7" width="14.140625" style="1" customWidth="1"/>
    <col min="8" max="8" width="14.28515625" style="1" customWidth="1"/>
    <col min="9" max="9" width="23.5703125" style="1" customWidth="1"/>
    <col min="10" max="16384" width="9.140625" style="1"/>
  </cols>
  <sheetData>
    <row r="1" spans="1:9" ht="24" customHeight="1">
      <c r="A1" s="974" t="s">
        <v>543</v>
      </c>
      <c r="B1" s="974"/>
      <c r="C1" s="974"/>
      <c r="D1" s="974"/>
      <c r="E1" s="974"/>
      <c r="F1" s="974"/>
      <c r="G1" s="974"/>
      <c r="H1" s="974"/>
      <c r="I1" s="974"/>
    </row>
    <row r="2" spans="1:9" ht="15.75" customHeight="1">
      <c r="A2" s="983" t="s">
        <v>542</v>
      </c>
      <c r="B2" s="983"/>
      <c r="C2" s="983"/>
      <c r="D2" s="983"/>
      <c r="E2" s="983"/>
      <c r="F2" s="983"/>
      <c r="G2" s="983"/>
      <c r="H2" s="983"/>
      <c r="I2" s="983"/>
    </row>
    <row r="3" spans="1:9" ht="15.75" customHeight="1">
      <c r="A3" s="983">
        <v>2015</v>
      </c>
      <c r="B3" s="983"/>
      <c r="C3" s="983"/>
      <c r="D3" s="983"/>
      <c r="E3" s="983"/>
      <c r="F3" s="983"/>
      <c r="G3" s="983"/>
      <c r="H3" s="983"/>
      <c r="I3" s="983"/>
    </row>
    <row r="4" spans="1:9" ht="18.75" customHeight="1">
      <c r="A4" s="983" t="s">
        <v>172</v>
      </c>
      <c r="B4" s="983"/>
      <c r="C4" s="983"/>
      <c r="D4" s="983"/>
      <c r="E4" s="983"/>
      <c r="F4" s="983"/>
      <c r="G4" s="983"/>
      <c r="H4" s="983"/>
      <c r="I4" s="983"/>
    </row>
    <row r="5" spans="1:9" ht="18.75" customHeight="1">
      <c r="A5" s="647"/>
      <c r="B5" s="647"/>
      <c r="C5" s="647"/>
      <c r="D5" s="647"/>
      <c r="E5" s="647"/>
      <c r="F5" s="691"/>
      <c r="G5" s="647"/>
      <c r="H5" s="647"/>
      <c r="I5" s="647"/>
    </row>
    <row r="6" spans="1:9" s="93" customFormat="1" ht="16.5">
      <c r="A6" s="636" t="s">
        <v>869</v>
      </c>
      <c r="B6" s="637"/>
      <c r="C6" s="637"/>
      <c r="D6" s="637"/>
      <c r="E6" s="637"/>
      <c r="F6" s="637"/>
      <c r="G6" s="637"/>
      <c r="H6" s="637"/>
      <c r="I6" s="643" t="s">
        <v>870</v>
      </c>
    </row>
    <row r="7" spans="1:9" ht="27.75" customHeight="1" thickBot="1">
      <c r="A7" s="937" t="s">
        <v>539</v>
      </c>
      <c r="B7" s="1026" t="s">
        <v>508</v>
      </c>
      <c r="C7" s="1026"/>
      <c r="D7" s="1026"/>
      <c r="E7" s="1026"/>
      <c r="F7" s="1026"/>
      <c r="G7" s="1026"/>
      <c r="H7" s="980" t="s">
        <v>538</v>
      </c>
      <c r="I7" s="1028" t="s">
        <v>537</v>
      </c>
    </row>
    <row r="8" spans="1:9" ht="60.75" customHeight="1">
      <c r="A8" s="939"/>
      <c r="B8" s="621" t="s">
        <v>951</v>
      </c>
      <c r="C8" s="621" t="s">
        <v>952</v>
      </c>
      <c r="D8" s="621" t="s">
        <v>953</v>
      </c>
      <c r="E8" s="621" t="s">
        <v>954</v>
      </c>
      <c r="F8" s="690" t="s">
        <v>293</v>
      </c>
      <c r="G8" s="576" t="s">
        <v>241</v>
      </c>
      <c r="H8" s="1027"/>
      <c r="I8" s="1029"/>
    </row>
    <row r="9" spans="1:9" ht="24.75" customHeight="1" thickBot="1">
      <c r="A9" s="85" t="s">
        <v>536</v>
      </c>
      <c r="B9" s="366">
        <v>53</v>
      </c>
      <c r="C9" s="97">
        <v>9</v>
      </c>
      <c r="D9" s="97">
        <v>35</v>
      </c>
      <c r="E9" s="97">
        <v>1</v>
      </c>
      <c r="F9" s="367">
        <v>0</v>
      </c>
      <c r="G9" s="191">
        <f>SUM(B9:F9)</f>
        <v>98</v>
      </c>
      <c r="H9" s="117">
        <f>G9/$G$21%</f>
        <v>19.600000000000001</v>
      </c>
      <c r="I9" s="82" t="s">
        <v>535</v>
      </c>
    </row>
    <row r="10" spans="1:9" ht="16.5" thickBot="1">
      <c r="A10" s="81">
        <v>-1</v>
      </c>
      <c r="B10" s="366">
        <v>5</v>
      </c>
      <c r="C10" s="97">
        <v>43</v>
      </c>
      <c r="D10" s="97">
        <v>8</v>
      </c>
      <c r="E10" s="97">
        <v>2</v>
      </c>
      <c r="F10" s="367">
        <v>0</v>
      </c>
      <c r="G10" s="191">
        <f t="shared" ref="G10:G20" si="0">SUM(B10:F10)</f>
        <v>58</v>
      </c>
      <c r="H10" s="116">
        <f t="shared" ref="H10:H20" si="1">G10/$G$21%</f>
        <v>11.6</v>
      </c>
      <c r="I10" s="79">
        <v>-1</v>
      </c>
    </row>
    <row r="11" spans="1:9" ht="14.25" customHeight="1" thickBot="1">
      <c r="A11" s="78">
        <v>1</v>
      </c>
      <c r="B11" s="366">
        <v>3</v>
      </c>
      <c r="C11" s="97">
        <v>34</v>
      </c>
      <c r="D11" s="97">
        <v>10</v>
      </c>
      <c r="E11" s="97">
        <v>3</v>
      </c>
      <c r="F11" s="367">
        <v>0</v>
      </c>
      <c r="G11" s="191">
        <f t="shared" si="0"/>
        <v>50</v>
      </c>
      <c r="H11" s="115">
        <f t="shared" si="1"/>
        <v>10</v>
      </c>
      <c r="I11" s="77">
        <v>1</v>
      </c>
    </row>
    <row r="12" spans="1:9" ht="16.5" thickBot="1">
      <c r="A12" s="81">
        <v>2</v>
      </c>
      <c r="B12" s="366">
        <v>4</v>
      </c>
      <c r="C12" s="97">
        <v>30</v>
      </c>
      <c r="D12" s="97">
        <v>9</v>
      </c>
      <c r="E12" s="97">
        <v>0</v>
      </c>
      <c r="F12" s="367">
        <v>0</v>
      </c>
      <c r="G12" s="191">
        <f t="shared" si="0"/>
        <v>43</v>
      </c>
      <c r="H12" s="116">
        <f t="shared" si="1"/>
        <v>8.6</v>
      </c>
      <c r="I12" s="79">
        <v>2</v>
      </c>
    </row>
    <row r="13" spans="1:9" ht="16.5" thickBot="1">
      <c r="A13" s="78">
        <v>3</v>
      </c>
      <c r="B13" s="366">
        <v>6</v>
      </c>
      <c r="C13" s="97">
        <v>24</v>
      </c>
      <c r="D13" s="97">
        <v>8</v>
      </c>
      <c r="E13" s="97">
        <v>1</v>
      </c>
      <c r="F13" s="367">
        <v>0</v>
      </c>
      <c r="G13" s="191">
        <f t="shared" si="0"/>
        <v>39</v>
      </c>
      <c r="H13" s="115">
        <f t="shared" si="1"/>
        <v>7.8</v>
      </c>
      <c r="I13" s="77">
        <v>3</v>
      </c>
    </row>
    <row r="14" spans="1:9" ht="16.5" thickBot="1">
      <c r="A14" s="81">
        <v>4</v>
      </c>
      <c r="B14" s="366">
        <v>3</v>
      </c>
      <c r="C14" s="97">
        <v>19</v>
      </c>
      <c r="D14" s="97">
        <v>5</v>
      </c>
      <c r="E14" s="97">
        <v>2</v>
      </c>
      <c r="F14" s="367">
        <v>0</v>
      </c>
      <c r="G14" s="191">
        <f t="shared" si="0"/>
        <v>29</v>
      </c>
      <c r="H14" s="116">
        <f t="shared" si="1"/>
        <v>5.8</v>
      </c>
      <c r="I14" s="79">
        <v>4</v>
      </c>
    </row>
    <row r="15" spans="1:9" ht="16.5" thickBot="1">
      <c r="A15" s="78" t="s">
        <v>534</v>
      </c>
      <c r="B15" s="366">
        <v>10</v>
      </c>
      <c r="C15" s="97">
        <v>53</v>
      </c>
      <c r="D15" s="97">
        <v>19</v>
      </c>
      <c r="E15" s="97">
        <v>4</v>
      </c>
      <c r="F15" s="367">
        <v>0</v>
      </c>
      <c r="G15" s="191">
        <f t="shared" si="0"/>
        <v>86</v>
      </c>
      <c r="H15" s="115">
        <f t="shared" si="1"/>
        <v>17.2</v>
      </c>
      <c r="I15" s="77" t="s">
        <v>533</v>
      </c>
    </row>
    <row r="16" spans="1:9" ht="16.5" thickBot="1">
      <c r="A16" s="81" t="s">
        <v>532</v>
      </c>
      <c r="B16" s="366">
        <v>6</v>
      </c>
      <c r="C16" s="97">
        <v>24</v>
      </c>
      <c r="D16" s="97">
        <v>6</v>
      </c>
      <c r="E16" s="97">
        <v>3</v>
      </c>
      <c r="F16" s="367">
        <v>0</v>
      </c>
      <c r="G16" s="191">
        <f t="shared" si="0"/>
        <v>39</v>
      </c>
      <c r="H16" s="116">
        <f t="shared" si="1"/>
        <v>7.8</v>
      </c>
      <c r="I16" s="79" t="s">
        <v>531</v>
      </c>
    </row>
    <row r="17" spans="1:9" ht="16.5" thickBot="1">
      <c r="A17" s="78" t="s">
        <v>530</v>
      </c>
      <c r="B17" s="366">
        <v>5</v>
      </c>
      <c r="C17" s="97">
        <v>18</v>
      </c>
      <c r="D17" s="97">
        <v>5</v>
      </c>
      <c r="E17" s="97">
        <v>3</v>
      </c>
      <c r="F17" s="367">
        <v>0</v>
      </c>
      <c r="G17" s="191">
        <f t="shared" si="0"/>
        <v>31</v>
      </c>
      <c r="H17" s="115">
        <f t="shared" si="1"/>
        <v>6.2</v>
      </c>
      <c r="I17" s="77" t="s">
        <v>276</v>
      </c>
    </row>
    <row r="18" spans="1:9" ht="16.5" thickBot="1">
      <c r="A18" s="81" t="s">
        <v>311</v>
      </c>
      <c r="B18" s="366">
        <v>2</v>
      </c>
      <c r="C18" s="97">
        <v>2</v>
      </c>
      <c r="D18" s="97">
        <v>2</v>
      </c>
      <c r="E18" s="97">
        <v>0</v>
      </c>
      <c r="F18" s="367">
        <v>0</v>
      </c>
      <c r="G18" s="191">
        <f t="shared" si="0"/>
        <v>6</v>
      </c>
      <c r="H18" s="116">
        <f t="shared" si="1"/>
        <v>1.2</v>
      </c>
      <c r="I18" s="79" t="s">
        <v>269</v>
      </c>
    </row>
    <row r="19" spans="1:9" ht="16.5" thickBot="1">
      <c r="A19" s="78" t="s">
        <v>529</v>
      </c>
      <c r="B19" s="366">
        <v>1</v>
      </c>
      <c r="C19" s="97">
        <v>7</v>
      </c>
      <c r="D19" s="97">
        <v>0</v>
      </c>
      <c r="E19" s="97">
        <v>2</v>
      </c>
      <c r="F19" s="367">
        <v>0</v>
      </c>
      <c r="G19" s="191">
        <f t="shared" si="0"/>
        <v>10</v>
      </c>
      <c r="H19" s="115">
        <f t="shared" si="1"/>
        <v>2</v>
      </c>
      <c r="I19" s="77" t="s">
        <v>529</v>
      </c>
    </row>
    <row r="20" spans="1:9" ht="16.5" thickBot="1">
      <c r="A20" s="147" t="s">
        <v>19</v>
      </c>
      <c r="B20" s="368">
        <v>1</v>
      </c>
      <c r="C20" s="369">
        <v>9</v>
      </c>
      <c r="D20" s="369">
        <v>1</v>
      </c>
      <c r="E20" s="369">
        <v>0</v>
      </c>
      <c r="F20" s="370">
        <v>0</v>
      </c>
      <c r="G20" s="191">
        <f t="shared" si="0"/>
        <v>11</v>
      </c>
      <c r="H20" s="114">
        <f t="shared" si="1"/>
        <v>2.2000000000000002</v>
      </c>
      <c r="I20" s="146" t="s">
        <v>20</v>
      </c>
    </row>
    <row r="21" spans="1:9" ht="20.100000000000001" customHeight="1" thickBot="1">
      <c r="A21" s="92" t="s">
        <v>21</v>
      </c>
      <c r="B21" s="392">
        <f>SUM(B9:B20)</f>
        <v>99</v>
      </c>
      <c r="C21" s="392">
        <f t="shared" ref="C21:G21" si="2">SUM(C9:C20)</f>
        <v>272</v>
      </c>
      <c r="D21" s="392">
        <f t="shared" si="2"/>
        <v>108</v>
      </c>
      <c r="E21" s="392">
        <f t="shared" si="2"/>
        <v>21</v>
      </c>
      <c r="F21" s="392">
        <f t="shared" si="2"/>
        <v>0</v>
      </c>
      <c r="G21" s="392">
        <f t="shared" si="2"/>
        <v>500</v>
      </c>
      <c r="H21" s="393">
        <f t="shared" ref="H21" si="3">SUM(H9:H20)</f>
        <v>100</v>
      </c>
      <c r="I21" s="91" t="s">
        <v>176</v>
      </c>
    </row>
    <row r="22" spans="1:9" ht="20.100000000000001" customHeight="1">
      <c r="A22" s="379" t="s">
        <v>528</v>
      </c>
      <c r="B22" s="394">
        <f>B21/$G$21%</f>
        <v>19.8</v>
      </c>
      <c r="C22" s="394">
        <f t="shared" ref="C22:G22" si="4">C21/$G$21%</f>
        <v>54.4</v>
      </c>
      <c r="D22" s="394">
        <f t="shared" si="4"/>
        <v>21.6</v>
      </c>
      <c r="E22" s="394">
        <f t="shared" si="4"/>
        <v>4.2</v>
      </c>
      <c r="F22" s="394">
        <f t="shared" si="4"/>
        <v>0</v>
      </c>
      <c r="G22" s="394">
        <f t="shared" si="4"/>
        <v>100</v>
      </c>
      <c r="H22" s="394"/>
      <c r="I22" s="381" t="s">
        <v>527</v>
      </c>
    </row>
  </sheetData>
  <mergeCells count="8">
    <mergeCell ref="A1:I1"/>
    <mergeCell ref="A2:I2"/>
    <mergeCell ref="A3:I3"/>
    <mergeCell ref="A7:A8"/>
    <mergeCell ref="B7:G7"/>
    <mergeCell ref="H7:H8"/>
    <mergeCell ref="I7:I8"/>
    <mergeCell ref="A4:I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rightToLeft="1" view="pageBreakPreview" zoomScaleNormal="100" zoomScaleSheetLayoutView="100" workbookViewId="0">
      <selection activeCell="L17" sqref="L17"/>
    </sheetView>
  </sheetViews>
  <sheetFormatPr defaultColWidth="9.140625" defaultRowHeight="12.75"/>
  <cols>
    <col min="1" max="1" width="18.42578125" style="1" customWidth="1"/>
    <col min="2" max="7" width="14.140625" style="1" customWidth="1"/>
    <col min="8" max="8" width="13.5703125" style="1" customWidth="1"/>
    <col min="9" max="9" width="23.5703125" style="1" customWidth="1"/>
    <col min="10" max="16384" width="9.140625" style="1"/>
  </cols>
  <sheetData>
    <row r="1" spans="1:9" ht="24" customHeight="1">
      <c r="A1" s="974" t="s">
        <v>543</v>
      </c>
      <c r="B1" s="974"/>
      <c r="C1" s="974"/>
      <c r="D1" s="974"/>
      <c r="E1" s="974"/>
      <c r="F1" s="974"/>
      <c r="G1" s="974"/>
      <c r="H1" s="974"/>
      <c r="I1" s="974"/>
    </row>
    <row r="2" spans="1:9" ht="15.75" customHeight="1">
      <c r="A2" s="983" t="s">
        <v>542</v>
      </c>
      <c r="B2" s="983"/>
      <c r="C2" s="983"/>
      <c r="D2" s="983"/>
      <c r="E2" s="983"/>
      <c r="F2" s="983"/>
      <c r="G2" s="983"/>
      <c r="H2" s="983"/>
      <c r="I2" s="983"/>
    </row>
    <row r="3" spans="1:9" ht="15.75" customHeight="1">
      <c r="A3" s="983">
        <v>2015</v>
      </c>
      <c r="B3" s="983"/>
      <c r="C3" s="983"/>
      <c r="D3" s="983"/>
      <c r="E3" s="983"/>
      <c r="F3" s="983"/>
      <c r="G3" s="983"/>
      <c r="H3" s="983"/>
      <c r="I3" s="983"/>
    </row>
    <row r="4" spans="1:9" ht="18.75" customHeight="1">
      <c r="A4" s="983" t="s">
        <v>1</v>
      </c>
      <c r="B4" s="983"/>
      <c r="C4" s="983"/>
      <c r="D4" s="983"/>
      <c r="E4" s="983"/>
      <c r="F4" s="983"/>
      <c r="G4" s="983"/>
      <c r="H4" s="983"/>
      <c r="I4" s="983"/>
    </row>
    <row r="5" spans="1:9" ht="18.75" customHeight="1">
      <c r="A5" s="647"/>
      <c r="B5" s="647"/>
      <c r="C5" s="647"/>
      <c r="D5" s="647"/>
      <c r="E5" s="647"/>
      <c r="F5" s="691"/>
      <c r="G5" s="647"/>
      <c r="H5" s="647"/>
      <c r="I5" s="647"/>
    </row>
    <row r="6" spans="1:9" s="93" customFormat="1" ht="16.5">
      <c r="A6" s="636" t="s">
        <v>867</v>
      </c>
      <c r="B6" s="637"/>
      <c r="C6" s="638"/>
      <c r="D6" s="638"/>
      <c r="E6" s="638"/>
      <c r="F6" s="638"/>
      <c r="G6" s="643"/>
      <c r="H6" s="643"/>
      <c r="I6" s="643" t="s">
        <v>868</v>
      </c>
    </row>
    <row r="7" spans="1:9" ht="27.75" customHeight="1" thickBot="1">
      <c r="A7" s="937" t="s">
        <v>539</v>
      </c>
      <c r="B7" s="1026" t="s">
        <v>508</v>
      </c>
      <c r="C7" s="1026"/>
      <c r="D7" s="1026"/>
      <c r="E7" s="1026"/>
      <c r="F7" s="1026"/>
      <c r="G7" s="1026"/>
      <c r="H7" s="980" t="s">
        <v>538</v>
      </c>
      <c r="I7" s="1028" t="s">
        <v>537</v>
      </c>
    </row>
    <row r="8" spans="1:9" ht="60.75" customHeight="1">
      <c r="A8" s="979"/>
      <c r="B8" s="621" t="s">
        <v>951</v>
      </c>
      <c r="C8" s="621" t="s">
        <v>952</v>
      </c>
      <c r="D8" s="621" t="s">
        <v>953</v>
      </c>
      <c r="E8" s="621" t="s">
        <v>954</v>
      </c>
      <c r="F8" s="690" t="s">
        <v>293</v>
      </c>
      <c r="G8" s="576" t="s">
        <v>241</v>
      </c>
      <c r="H8" s="981"/>
      <c r="I8" s="1030"/>
    </row>
    <row r="9" spans="1:9" ht="16.5" thickBot="1">
      <c r="A9" s="384" t="s">
        <v>536</v>
      </c>
      <c r="B9" s="366">
        <v>196</v>
      </c>
      <c r="C9" s="97">
        <v>25</v>
      </c>
      <c r="D9" s="97">
        <v>74</v>
      </c>
      <c r="E9" s="97">
        <v>1</v>
      </c>
      <c r="F9" s="367">
        <v>0</v>
      </c>
      <c r="G9" s="191">
        <f>SUM(B9:F9)</f>
        <v>296</v>
      </c>
      <c r="H9" s="387">
        <f t="shared" ref="H9:H20" si="0">G9/$G$21%</f>
        <v>22.647283856159142</v>
      </c>
      <c r="I9" s="91" t="s">
        <v>535</v>
      </c>
    </row>
    <row r="10" spans="1:9" ht="16.5" thickBot="1">
      <c r="A10" s="385">
        <v>-1</v>
      </c>
      <c r="B10" s="366">
        <v>6</v>
      </c>
      <c r="C10" s="97">
        <v>118</v>
      </c>
      <c r="D10" s="97">
        <v>12</v>
      </c>
      <c r="E10" s="97">
        <v>5</v>
      </c>
      <c r="F10" s="367">
        <v>0</v>
      </c>
      <c r="G10" s="191">
        <f t="shared" ref="G10:G20" si="1">SUM(B10:F10)</f>
        <v>141</v>
      </c>
      <c r="H10" s="388">
        <f t="shared" si="0"/>
        <v>10.788064269319051</v>
      </c>
      <c r="I10" s="79">
        <v>-1</v>
      </c>
    </row>
    <row r="11" spans="1:9" ht="16.5" thickBot="1">
      <c r="A11" s="386">
        <v>1</v>
      </c>
      <c r="B11" s="366">
        <v>8</v>
      </c>
      <c r="C11" s="97">
        <v>119</v>
      </c>
      <c r="D11" s="97">
        <v>17</v>
      </c>
      <c r="E11" s="97">
        <v>6</v>
      </c>
      <c r="F11" s="367">
        <v>0</v>
      </c>
      <c r="G11" s="191">
        <f t="shared" si="1"/>
        <v>150</v>
      </c>
      <c r="H11" s="389">
        <f t="shared" si="0"/>
        <v>11.476664116296863</v>
      </c>
      <c r="I11" s="77">
        <v>1</v>
      </c>
    </row>
    <row r="12" spans="1:9" ht="16.5" thickBot="1">
      <c r="A12" s="385">
        <v>2</v>
      </c>
      <c r="B12" s="366">
        <v>12</v>
      </c>
      <c r="C12" s="97">
        <v>85</v>
      </c>
      <c r="D12" s="97">
        <v>14</v>
      </c>
      <c r="E12" s="97">
        <v>3</v>
      </c>
      <c r="F12" s="367">
        <v>0</v>
      </c>
      <c r="G12" s="191">
        <f t="shared" si="1"/>
        <v>114</v>
      </c>
      <c r="H12" s="388">
        <f t="shared" si="0"/>
        <v>8.7222647283856158</v>
      </c>
      <c r="I12" s="79">
        <v>2</v>
      </c>
    </row>
    <row r="13" spans="1:9" ht="16.5" thickBot="1">
      <c r="A13" s="386">
        <v>3</v>
      </c>
      <c r="B13" s="366">
        <v>11</v>
      </c>
      <c r="C13" s="97">
        <v>57</v>
      </c>
      <c r="D13" s="97">
        <v>11</v>
      </c>
      <c r="E13" s="97">
        <v>2</v>
      </c>
      <c r="F13" s="367">
        <v>0</v>
      </c>
      <c r="G13" s="191">
        <f t="shared" si="1"/>
        <v>81</v>
      </c>
      <c r="H13" s="389">
        <f t="shared" si="0"/>
        <v>6.1973986228003062</v>
      </c>
      <c r="I13" s="77">
        <v>3</v>
      </c>
    </row>
    <row r="14" spans="1:9" ht="16.5" thickBot="1">
      <c r="A14" s="385">
        <v>4</v>
      </c>
      <c r="B14" s="366">
        <v>5</v>
      </c>
      <c r="C14" s="97">
        <v>49</v>
      </c>
      <c r="D14" s="97">
        <v>7</v>
      </c>
      <c r="E14" s="97">
        <v>4</v>
      </c>
      <c r="F14" s="367">
        <v>0</v>
      </c>
      <c r="G14" s="191">
        <f t="shared" si="1"/>
        <v>65</v>
      </c>
      <c r="H14" s="388">
        <f t="shared" si="0"/>
        <v>4.973221117061974</v>
      </c>
      <c r="I14" s="79">
        <v>4</v>
      </c>
    </row>
    <row r="15" spans="1:9" ht="16.5" thickBot="1">
      <c r="A15" s="386" t="s">
        <v>534</v>
      </c>
      <c r="B15" s="366">
        <v>19</v>
      </c>
      <c r="C15" s="97">
        <v>138</v>
      </c>
      <c r="D15" s="97">
        <v>29</v>
      </c>
      <c r="E15" s="97">
        <v>17</v>
      </c>
      <c r="F15" s="367">
        <v>0</v>
      </c>
      <c r="G15" s="191">
        <f t="shared" si="1"/>
        <v>203</v>
      </c>
      <c r="H15" s="389">
        <f t="shared" si="0"/>
        <v>15.531752104055087</v>
      </c>
      <c r="I15" s="77" t="s">
        <v>533</v>
      </c>
    </row>
    <row r="16" spans="1:9" ht="16.5" thickBot="1">
      <c r="A16" s="385" t="s">
        <v>532</v>
      </c>
      <c r="B16" s="366">
        <v>10</v>
      </c>
      <c r="C16" s="97">
        <v>75</v>
      </c>
      <c r="D16" s="97">
        <v>11</v>
      </c>
      <c r="E16" s="97">
        <v>10</v>
      </c>
      <c r="F16" s="367">
        <v>0</v>
      </c>
      <c r="G16" s="191">
        <f t="shared" si="1"/>
        <v>106</v>
      </c>
      <c r="H16" s="388">
        <f t="shared" si="0"/>
        <v>8.1101759755164498</v>
      </c>
      <c r="I16" s="79" t="s">
        <v>531</v>
      </c>
    </row>
    <row r="17" spans="1:9" ht="16.5" thickBot="1">
      <c r="A17" s="386" t="s">
        <v>530</v>
      </c>
      <c r="B17" s="366">
        <v>9</v>
      </c>
      <c r="C17" s="97">
        <v>36</v>
      </c>
      <c r="D17" s="97">
        <v>9</v>
      </c>
      <c r="E17" s="97">
        <v>5</v>
      </c>
      <c r="F17" s="367">
        <v>0</v>
      </c>
      <c r="G17" s="191">
        <f t="shared" si="1"/>
        <v>59</v>
      </c>
      <c r="H17" s="389">
        <f t="shared" si="0"/>
        <v>4.5141545524100994</v>
      </c>
      <c r="I17" s="77" t="s">
        <v>276</v>
      </c>
    </row>
    <row r="18" spans="1:9" ht="16.5" thickBot="1">
      <c r="A18" s="385" t="s">
        <v>311</v>
      </c>
      <c r="B18" s="366">
        <v>4</v>
      </c>
      <c r="C18" s="97">
        <v>11</v>
      </c>
      <c r="D18" s="97">
        <v>6</v>
      </c>
      <c r="E18" s="97">
        <v>3</v>
      </c>
      <c r="F18" s="367">
        <v>0</v>
      </c>
      <c r="G18" s="191">
        <f t="shared" si="1"/>
        <v>24</v>
      </c>
      <c r="H18" s="388">
        <f t="shared" si="0"/>
        <v>1.836266258607498</v>
      </c>
      <c r="I18" s="79" t="s">
        <v>269</v>
      </c>
    </row>
    <row r="19" spans="1:9" ht="16.5" thickBot="1">
      <c r="A19" s="386" t="s">
        <v>529</v>
      </c>
      <c r="B19" s="366">
        <v>7</v>
      </c>
      <c r="C19" s="97">
        <v>35</v>
      </c>
      <c r="D19" s="97">
        <v>2</v>
      </c>
      <c r="E19" s="97">
        <v>2</v>
      </c>
      <c r="F19" s="367">
        <v>0</v>
      </c>
      <c r="G19" s="191">
        <f t="shared" si="1"/>
        <v>46</v>
      </c>
      <c r="H19" s="389">
        <f t="shared" si="0"/>
        <v>3.5195103289977046</v>
      </c>
      <c r="I19" s="77" t="s">
        <v>529</v>
      </c>
    </row>
    <row r="20" spans="1:9" ht="16.5" thickBot="1">
      <c r="A20" s="390" t="s">
        <v>19</v>
      </c>
      <c r="B20" s="368">
        <v>2</v>
      </c>
      <c r="C20" s="369">
        <v>19</v>
      </c>
      <c r="D20" s="369">
        <v>1</v>
      </c>
      <c r="E20" s="369">
        <v>0</v>
      </c>
      <c r="F20" s="370">
        <v>0</v>
      </c>
      <c r="G20" s="191">
        <f t="shared" si="1"/>
        <v>22</v>
      </c>
      <c r="H20" s="391">
        <f t="shared" si="0"/>
        <v>1.6832440703902065</v>
      </c>
      <c r="I20" s="146" t="s">
        <v>20</v>
      </c>
    </row>
    <row r="21" spans="1:9" ht="20.100000000000001" customHeight="1" thickBot="1">
      <c r="A21" s="92" t="s">
        <v>21</v>
      </c>
      <c r="B21" s="395">
        <f t="shared" ref="B21:G21" si="2">SUM(B9:B20)</f>
        <v>289</v>
      </c>
      <c r="C21" s="395">
        <f t="shared" ref="C21:F21" si="3">SUM(C9:C20)</f>
        <v>767</v>
      </c>
      <c r="D21" s="395">
        <f t="shared" si="3"/>
        <v>193</v>
      </c>
      <c r="E21" s="395">
        <f t="shared" si="3"/>
        <v>58</v>
      </c>
      <c r="F21" s="395">
        <f t="shared" si="3"/>
        <v>0</v>
      </c>
      <c r="G21" s="395">
        <f t="shared" si="2"/>
        <v>1307</v>
      </c>
      <c r="H21" s="393">
        <f t="shared" ref="H21" si="4">SUM(H9:H20)</f>
        <v>100.00000000000001</v>
      </c>
      <c r="I21" s="91" t="s">
        <v>176</v>
      </c>
    </row>
    <row r="22" spans="1:9" ht="20.100000000000001" customHeight="1">
      <c r="A22" s="379" t="s">
        <v>528</v>
      </c>
      <c r="B22" s="394">
        <f>B21/$G$21%</f>
        <v>22.111706197398622</v>
      </c>
      <c r="C22" s="394">
        <f t="shared" ref="C22:F22" si="5">C21/$G$21%</f>
        <v>58.684009181331291</v>
      </c>
      <c r="D22" s="394">
        <f t="shared" si="5"/>
        <v>14.76664116296863</v>
      </c>
      <c r="E22" s="394">
        <f t="shared" si="5"/>
        <v>4.4376434583014532</v>
      </c>
      <c r="F22" s="394">
        <f t="shared" si="5"/>
        <v>0</v>
      </c>
      <c r="G22" s="394">
        <f>SUM(B22:E22)</f>
        <v>99.999999999999986</v>
      </c>
      <c r="H22" s="394"/>
      <c r="I22" s="381" t="s">
        <v>527</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rightToLeft="1" view="pageBreakPreview" zoomScaleNormal="100" zoomScaleSheetLayoutView="100" workbookViewId="0">
      <selection activeCell="A3" sqref="A3:N3"/>
    </sheetView>
  </sheetViews>
  <sheetFormatPr defaultColWidth="9.140625" defaultRowHeight="12.75"/>
  <cols>
    <col min="1" max="1" width="17.5703125" style="160" customWidth="1"/>
    <col min="2" max="9" width="8.42578125" style="1" customWidth="1"/>
    <col min="10" max="10" width="8.5703125" style="1" bestFit="1" customWidth="1"/>
    <col min="11" max="11" width="5.5703125" style="1" bestFit="1" customWidth="1"/>
    <col min="12" max="12" width="10.140625" style="721" bestFit="1" customWidth="1"/>
    <col min="13" max="13" width="13.140625" style="1" customWidth="1"/>
    <col min="14" max="14" width="18.140625" style="160" customWidth="1"/>
    <col min="15" max="16384" width="9.140625" style="1"/>
  </cols>
  <sheetData>
    <row r="1" spans="1:14" s="2" customFormat="1" ht="18">
      <c r="A1" s="934" t="s">
        <v>798</v>
      </c>
      <c r="B1" s="934"/>
      <c r="C1" s="934"/>
      <c r="D1" s="934"/>
      <c r="E1" s="934"/>
      <c r="F1" s="934"/>
      <c r="G1" s="934"/>
      <c r="H1" s="934"/>
      <c r="I1" s="934"/>
      <c r="J1" s="934"/>
      <c r="K1" s="934"/>
      <c r="L1" s="934"/>
      <c r="M1" s="934"/>
      <c r="N1" s="934"/>
    </row>
    <row r="2" spans="1:14" s="3" customFormat="1" ht="37.5" customHeight="1">
      <c r="A2" s="958" t="s">
        <v>987</v>
      </c>
      <c r="B2" s="958"/>
      <c r="C2" s="958"/>
      <c r="D2" s="958"/>
      <c r="E2" s="958"/>
      <c r="F2" s="958"/>
      <c r="G2" s="958"/>
      <c r="H2" s="958"/>
      <c r="I2" s="958"/>
      <c r="J2" s="958"/>
      <c r="K2" s="958"/>
      <c r="L2" s="958"/>
      <c r="M2" s="958"/>
      <c r="N2" s="958"/>
    </row>
    <row r="3" spans="1:14" s="2" customFormat="1" ht="15.75">
      <c r="A3" s="959">
        <v>2015</v>
      </c>
      <c r="B3" s="959"/>
      <c r="C3" s="959"/>
      <c r="D3" s="959"/>
      <c r="E3" s="959"/>
      <c r="F3" s="959"/>
      <c r="G3" s="959"/>
      <c r="H3" s="959"/>
      <c r="I3" s="959"/>
      <c r="J3" s="959"/>
      <c r="K3" s="959"/>
      <c r="L3" s="959"/>
      <c r="M3" s="959"/>
      <c r="N3" s="959"/>
    </row>
    <row r="4" spans="1:14" s="2" customFormat="1" ht="15.75">
      <c r="A4" s="959"/>
      <c r="B4" s="959"/>
      <c r="C4" s="959"/>
      <c r="D4" s="959"/>
      <c r="E4" s="959"/>
      <c r="F4" s="959"/>
      <c r="G4" s="959"/>
      <c r="H4" s="959"/>
      <c r="I4" s="959"/>
      <c r="J4" s="959"/>
      <c r="K4" s="959"/>
      <c r="L4" s="959"/>
      <c r="M4" s="959"/>
      <c r="N4" s="959"/>
    </row>
    <row r="5" spans="1:14" ht="15.75">
      <c r="A5" s="655" t="s">
        <v>871</v>
      </c>
      <c r="B5" s="652"/>
      <c r="C5" s="652"/>
      <c r="D5" s="652"/>
      <c r="E5" s="652"/>
      <c r="F5" s="652"/>
      <c r="G5" s="652"/>
      <c r="H5" s="652"/>
      <c r="I5" s="652"/>
      <c r="J5" s="652"/>
      <c r="K5" s="652"/>
      <c r="L5" s="720"/>
      <c r="M5" s="652"/>
      <c r="N5" s="656" t="s">
        <v>872</v>
      </c>
    </row>
    <row r="6" spans="1:14" ht="24.75" customHeight="1" thickBot="1">
      <c r="A6" s="1039" t="s">
        <v>610</v>
      </c>
      <c r="B6" s="1042" t="s">
        <v>794</v>
      </c>
      <c r="C6" s="1043"/>
      <c r="D6" s="1043"/>
      <c r="E6" s="1043"/>
      <c r="F6" s="1043"/>
      <c r="G6" s="1043"/>
      <c r="H6" s="1043"/>
      <c r="I6" s="1044"/>
      <c r="J6" s="1045" t="s">
        <v>784</v>
      </c>
      <c r="K6" s="1045"/>
      <c r="L6" s="1045"/>
      <c r="M6" s="999" t="s">
        <v>423</v>
      </c>
      <c r="N6" s="1047" t="s">
        <v>609</v>
      </c>
    </row>
    <row r="7" spans="1:14" ht="70.5" customHeight="1" thickBot="1">
      <c r="A7" s="1040"/>
      <c r="B7" s="1050" t="s">
        <v>780</v>
      </c>
      <c r="C7" s="1050"/>
      <c r="D7" s="1050" t="s">
        <v>781</v>
      </c>
      <c r="E7" s="1050"/>
      <c r="F7" s="1050" t="s">
        <v>782</v>
      </c>
      <c r="G7" s="1050"/>
      <c r="H7" s="1050" t="s">
        <v>783</v>
      </c>
      <c r="I7" s="1050"/>
      <c r="J7" s="1046"/>
      <c r="K7" s="1046"/>
      <c r="L7" s="1046"/>
      <c r="M7" s="1051"/>
      <c r="N7" s="1048"/>
    </row>
    <row r="8" spans="1:14" ht="36.75" customHeight="1">
      <c r="A8" s="1041"/>
      <c r="B8" s="539" t="s">
        <v>795</v>
      </c>
      <c r="C8" s="539" t="s">
        <v>796</v>
      </c>
      <c r="D8" s="539" t="s">
        <v>795</v>
      </c>
      <c r="E8" s="539" t="s">
        <v>796</v>
      </c>
      <c r="F8" s="539" t="s">
        <v>795</v>
      </c>
      <c r="G8" s="539" t="s">
        <v>796</v>
      </c>
      <c r="H8" s="539" t="s">
        <v>795</v>
      </c>
      <c r="I8" s="539" t="s">
        <v>796</v>
      </c>
      <c r="J8" s="537" t="s">
        <v>795</v>
      </c>
      <c r="K8" s="537" t="s">
        <v>796</v>
      </c>
      <c r="L8" s="718" t="s">
        <v>797</v>
      </c>
      <c r="M8" s="1051"/>
      <c r="N8" s="1049"/>
    </row>
    <row r="9" spans="1:14" ht="27" customHeight="1" thickBot="1">
      <c r="A9" s="162" t="s">
        <v>536</v>
      </c>
      <c r="B9" s="84">
        <v>123</v>
      </c>
      <c r="C9" s="84">
        <v>42</v>
      </c>
      <c r="D9" s="84">
        <v>26</v>
      </c>
      <c r="E9" s="84">
        <v>6</v>
      </c>
      <c r="F9" s="84">
        <v>8</v>
      </c>
      <c r="G9" s="84">
        <v>6</v>
      </c>
      <c r="H9" s="84">
        <v>46</v>
      </c>
      <c r="I9" s="84">
        <v>35</v>
      </c>
      <c r="J9" s="83">
        <f>Table_Default__XLS_TAB_30_281[[#This Row],[CAT_4_HSB_CNT]]+Table_Default__XLS_TAB_30_281[[#This Row],[CAT_3_HSB_CNT]]+Table_Default__XLS_TAB_30_281[[#This Row],[CAT_2_HSB_CNT]]+Table_Default__XLS_TAB_30_281[[#This Row],[CAT_1_HSB_CNT]]</f>
        <v>203</v>
      </c>
      <c r="K9" s="83">
        <f>Table_Default__XLS_TAB_30_281[[#This Row],[CAT_4_WFE_CNT]]+Table_Default__XLS_TAB_30_281[[#This Row],[CAT_3_WFE_CNT]]+Table_Default__XLS_TAB_30_281[[#This Row],[CAT_2_WFE_CNT]]+Table_Default__XLS_TAB_30_281[[#This Row],[CAT_1_WFE_CNT]]</f>
        <v>89</v>
      </c>
      <c r="L9" s="83">
        <v>4</v>
      </c>
      <c r="M9" s="538">
        <f>SUM(J9:L9)</f>
        <v>296</v>
      </c>
      <c r="N9" s="161" t="s">
        <v>535</v>
      </c>
    </row>
    <row r="10" spans="1:14" ht="18" customHeight="1" thickBot="1">
      <c r="A10" s="664" t="s">
        <v>754</v>
      </c>
      <c r="B10" s="731">
        <v>51</v>
      </c>
      <c r="C10" s="731">
        <v>5</v>
      </c>
      <c r="D10" s="731">
        <v>26</v>
      </c>
      <c r="E10" s="731">
        <v>1</v>
      </c>
      <c r="F10" s="731">
        <v>6</v>
      </c>
      <c r="G10" s="731">
        <v>2</v>
      </c>
      <c r="H10" s="731">
        <v>34</v>
      </c>
      <c r="I10" s="731">
        <v>11</v>
      </c>
      <c r="J10" s="83">
        <f>Table_Default__XLS_TAB_30_281[[#This Row],[CAT_4_HSB_CNT]]+Table_Default__XLS_TAB_30_281[[#This Row],[CAT_3_HSB_CNT]]+Table_Default__XLS_TAB_30_281[[#This Row],[CAT_2_HSB_CNT]]+Table_Default__XLS_TAB_30_281[[#This Row],[CAT_1_HSB_CNT]]</f>
        <v>117</v>
      </c>
      <c r="K10" s="83">
        <f>Table_Default__XLS_TAB_30_281[[#This Row],[CAT_4_WFE_CNT]]+Table_Default__XLS_TAB_30_281[[#This Row],[CAT_3_WFE_CNT]]+Table_Default__XLS_TAB_30_281[[#This Row],[CAT_2_WFE_CNT]]+Table_Default__XLS_TAB_30_281[[#This Row],[CAT_1_WFE_CNT]]</f>
        <v>19</v>
      </c>
      <c r="L10" s="732">
        <v>5</v>
      </c>
      <c r="M10" s="538">
        <f t="shared" ref="M10:M20" si="0">SUM(J10:L10)</f>
        <v>141</v>
      </c>
      <c r="N10" s="666" t="s">
        <v>754</v>
      </c>
    </row>
    <row r="11" spans="1:14" ht="18" customHeight="1" thickBot="1">
      <c r="A11" s="664" t="s">
        <v>755</v>
      </c>
      <c r="B11" s="731">
        <v>63</v>
      </c>
      <c r="C11" s="731">
        <v>8</v>
      </c>
      <c r="D11" s="731">
        <v>27</v>
      </c>
      <c r="E11" s="731">
        <v>2</v>
      </c>
      <c r="F11" s="731">
        <v>5</v>
      </c>
      <c r="G11" s="731">
        <v>3</v>
      </c>
      <c r="H11" s="731">
        <v>30</v>
      </c>
      <c r="I11" s="731">
        <v>12</v>
      </c>
      <c r="J11" s="83">
        <f>Table_Default__XLS_TAB_30_281[[#This Row],[CAT_4_HSB_CNT]]+Table_Default__XLS_TAB_30_281[[#This Row],[CAT_3_HSB_CNT]]+Table_Default__XLS_TAB_30_281[[#This Row],[CAT_2_HSB_CNT]]+Table_Default__XLS_TAB_30_281[[#This Row],[CAT_1_HSB_CNT]]</f>
        <v>125</v>
      </c>
      <c r="K11" s="83">
        <f>Table_Default__XLS_TAB_30_281[[#This Row],[CAT_4_WFE_CNT]]+Table_Default__XLS_TAB_30_281[[#This Row],[CAT_3_WFE_CNT]]+Table_Default__XLS_TAB_30_281[[#This Row],[CAT_2_WFE_CNT]]+Table_Default__XLS_TAB_30_281[[#This Row],[CAT_1_WFE_CNT]]</f>
        <v>25</v>
      </c>
      <c r="L11" s="732">
        <v>0</v>
      </c>
      <c r="M11" s="538">
        <f t="shared" si="0"/>
        <v>150</v>
      </c>
      <c r="N11" s="666" t="s">
        <v>755</v>
      </c>
    </row>
    <row r="12" spans="1:14" ht="18" customHeight="1" thickBot="1">
      <c r="A12" s="664" t="s">
        <v>756</v>
      </c>
      <c r="B12" s="731">
        <v>48</v>
      </c>
      <c r="C12" s="731">
        <v>4</v>
      </c>
      <c r="D12" s="731">
        <v>15</v>
      </c>
      <c r="E12" s="731">
        <v>4</v>
      </c>
      <c r="F12" s="731">
        <v>7</v>
      </c>
      <c r="G12" s="731">
        <v>2</v>
      </c>
      <c r="H12" s="731">
        <v>22</v>
      </c>
      <c r="I12" s="731">
        <v>12</v>
      </c>
      <c r="J12" s="83">
        <f>Table_Default__XLS_TAB_30_281[[#This Row],[CAT_4_HSB_CNT]]+Table_Default__XLS_TAB_30_281[[#This Row],[CAT_3_HSB_CNT]]+Table_Default__XLS_TAB_30_281[[#This Row],[CAT_2_HSB_CNT]]+Table_Default__XLS_TAB_30_281[[#This Row],[CAT_1_HSB_CNT]]</f>
        <v>92</v>
      </c>
      <c r="K12" s="83">
        <f>Table_Default__XLS_TAB_30_281[[#This Row],[CAT_4_WFE_CNT]]+Table_Default__XLS_TAB_30_281[[#This Row],[CAT_3_WFE_CNT]]+Table_Default__XLS_TAB_30_281[[#This Row],[CAT_2_WFE_CNT]]+Table_Default__XLS_TAB_30_281[[#This Row],[CAT_1_WFE_CNT]]</f>
        <v>22</v>
      </c>
      <c r="L12" s="732">
        <v>0</v>
      </c>
      <c r="M12" s="538">
        <f t="shared" si="0"/>
        <v>114</v>
      </c>
      <c r="N12" s="666" t="s">
        <v>756</v>
      </c>
    </row>
    <row r="13" spans="1:14" ht="18" customHeight="1" thickBot="1">
      <c r="A13" s="664" t="s">
        <v>647</v>
      </c>
      <c r="B13" s="731">
        <v>27</v>
      </c>
      <c r="C13" s="731">
        <v>4</v>
      </c>
      <c r="D13" s="731">
        <v>11</v>
      </c>
      <c r="E13" s="731">
        <v>0</v>
      </c>
      <c r="F13" s="731">
        <v>2</v>
      </c>
      <c r="G13" s="731">
        <v>3</v>
      </c>
      <c r="H13" s="731">
        <v>23</v>
      </c>
      <c r="I13" s="731">
        <v>11</v>
      </c>
      <c r="J13" s="83">
        <f>Table_Default__XLS_TAB_30_281[[#This Row],[CAT_4_HSB_CNT]]+Table_Default__XLS_TAB_30_281[[#This Row],[CAT_3_HSB_CNT]]+Table_Default__XLS_TAB_30_281[[#This Row],[CAT_2_HSB_CNT]]+Table_Default__XLS_TAB_30_281[[#This Row],[CAT_1_HSB_CNT]]</f>
        <v>63</v>
      </c>
      <c r="K13" s="83">
        <f>Table_Default__XLS_TAB_30_281[[#This Row],[CAT_4_WFE_CNT]]+Table_Default__XLS_TAB_30_281[[#This Row],[CAT_3_WFE_CNT]]+Table_Default__XLS_TAB_30_281[[#This Row],[CAT_2_WFE_CNT]]+Table_Default__XLS_TAB_30_281[[#This Row],[CAT_1_WFE_CNT]]</f>
        <v>18</v>
      </c>
      <c r="L13" s="732">
        <v>0</v>
      </c>
      <c r="M13" s="538">
        <f t="shared" si="0"/>
        <v>81</v>
      </c>
      <c r="N13" s="666" t="s">
        <v>647</v>
      </c>
    </row>
    <row r="14" spans="1:14" ht="18" customHeight="1" thickBot="1">
      <c r="A14" s="664" t="s">
        <v>59</v>
      </c>
      <c r="B14" s="731">
        <v>24</v>
      </c>
      <c r="C14" s="731">
        <v>3</v>
      </c>
      <c r="D14" s="731">
        <v>9</v>
      </c>
      <c r="E14" s="731">
        <v>0</v>
      </c>
      <c r="F14" s="731">
        <v>4</v>
      </c>
      <c r="G14" s="731">
        <v>1</v>
      </c>
      <c r="H14" s="731">
        <v>18</v>
      </c>
      <c r="I14" s="731">
        <v>6</v>
      </c>
      <c r="J14" s="83">
        <f>Table_Default__XLS_TAB_30_281[[#This Row],[CAT_4_HSB_CNT]]+Table_Default__XLS_TAB_30_281[[#This Row],[CAT_3_HSB_CNT]]+Table_Default__XLS_TAB_30_281[[#This Row],[CAT_2_HSB_CNT]]+Table_Default__XLS_TAB_30_281[[#This Row],[CAT_1_HSB_CNT]]</f>
        <v>55</v>
      </c>
      <c r="K14" s="83">
        <f>Table_Default__XLS_TAB_30_281[[#This Row],[CAT_4_WFE_CNT]]+Table_Default__XLS_TAB_30_281[[#This Row],[CAT_3_WFE_CNT]]+Table_Default__XLS_TAB_30_281[[#This Row],[CAT_2_WFE_CNT]]+Table_Default__XLS_TAB_30_281[[#This Row],[CAT_1_WFE_CNT]]</f>
        <v>10</v>
      </c>
      <c r="L14" s="732">
        <v>0</v>
      </c>
      <c r="M14" s="538">
        <f t="shared" si="0"/>
        <v>65</v>
      </c>
      <c r="N14" s="666" t="s">
        <v>59</v>
      </c>
    </row>
    <row r="15" spans="1:14" ht="18" customHeight="1" thickBot="1">
      <c r="A15" s="664" t="s">
        <v>533</v>
      </c>
      <c r="B15" s="731">
        <v>73</v>
      </c>
      <c r="C15" s="731">
        <v>10</v>
      </c>
      <c r="D15" s="731">
        <v>30</v>
      </c>
      <c r="E15" s="731">
        <v>4</v>
      </c>
      <c r="F15" s="731">
        <v>8</v>
      </c>
      <c r="G15" s="731">
        <v>1</v>
      </c>
      <c r="H15" s="731">
        <v>50</v>
      </c>
      <c r="I15" s="731">
        <v>27</v>
      </c>
      <c r="J15" s="83">
        <f>Table_Default__XLS_TAB_30_281[[#This Row],[CAT_4_HSB_CNT]]+Table_Default__XLS_TAB_30_281[[#This Row],[CAT_3_HSB_CNT]]+Table_Default__XLS_TAB_30_281[[#This Row],[CAT_2_HSB_CNT]]+Table_Default__XLS_TAB_30_281[[#This Row],[CAT_1_HSB_CNT]]</f>
        <v>161</v>
      </c>
      <c r="K15" s="83">
        <f>Table_Default__XLS_TAB_30_281[[#This Row],[CAT_4_WFE_CNT]]+Table_Default__XLS_TAB_30_281[[#This Row],[CAT_3_WFE_CNT]]+Table_Default__XLS_TAB_30_281[[#This Row],[CAT_2_WFE_CNT]]+Table_Default__XLS_TAB_30_281[[#This Row],[CAT_1_WFE_CNT]]</f>
        <v>42</v>
      </c>
      <c r="L15" s="732">
        <v>0</v>
      </c>
      <c r="M15" s="538">
        <f t="shared" si="0"/>
        <v>203</v>
      </c>
      <c r="N15" s="666" t="s">
        <v>533</v>
      </c>
    </row>
    <row r="16" spans="1:14" ht="18" customHeight="1" thickBot="1">
      <c r="A16" s="664" t="s">
        <v>531</v>
      </c>
      <c r="B16" s="731">
        <v>50</v>
      </c>
      <c r="C16" s="731">
        <v>8</v>
      </c>
      <c r="D16" s="731">
        <v>9</v>
      </c>
      <c r="E16" s="731">
        <v>0</v>
      </c>
      <c r="F16" s="731">
        <v>3</v>
      </c>
      <c r="G16" s="731">
        <v>2</v>
      </c>
      <c r="H16" s="731">
        <v>24</v>
      </c>
      <c r="I16" s="731">
        <v>10</v>
      </c>
      <c r="J16" s="83">
        <f>Table_Default__XLS_TAB_30_281[[#This Row],[CAT_4_HSB_CNT]]+Table_Default__XLS_TAB_30_281[[#This Row],[CAT_3_HSB_CNT]]+Table_Default__XLS_TAB_30_281[[#This Row],[CAT_2_HSB_CNT]]+Table_Default__XLS_TAB_30_281[[#This Row],[CAT_1_HSB_CNT]]</f>
        <v>86</v>
      </c>
      <c r="K16" s="83">
        <f>Table_Default__XLS_TAB_30_281[[#This Row],[CAT_4_WFE_CNT]]+Table_Default__XLS_TAB_30_281[[#This Row],[CAT_3_WFE_CNT]]+Table_Default__XLS_TAB_30_281[[#This Row],[CAT_2_WFE_CNT]]+Table_Default__XLS_TAB_30_281[[#This Row],[CAT_1_WFE_CNT]]</f>
        <v>20</v>
      </c>
      <c r="L16" s="732">
        <v>0</v>
      </c>
      <c r="M16" s="538">
        <f t="shared" si="0"/>
        <v>106</v>
      </c>
      <c r="N16" s="666" t="s">
        <v>531</v>
      </c>
    </row>
    <row r="17" spans="1:14" ht="18" customHeight="1" thickBot="1">
      <c r="A17" s="664" t="s">
        <v>276</v>
      </c>
      <c r="B17" s="731">
        <v>20</v>
      </c>
      <c r="C17" s="731">
        <v>6</v>
      </c>
      <c r="D17" s="731">
        <v>1</v>
      </c>
      <c r="E17" s="731">
        <v>1</v>
      </c>
      <c r="F17" s="731">
        <v>1</v>
      </c>
      <c r="G17" s="731">
        <v>1</v>
      </c>
      <c r="H17" s="731">
        <v>18</v>
      </c>
      <c r="I17" s="731">
        <v>11</v>
      </c>
      <c r="J17" s="83">
        <f>Table_Default__XLS_TAB_30_281[[#This Row],[CAT_4_HSB_CNT]]+Table_Default__XLS_TAB_30_281[[#This Row],[CAT_3_HSB_CNT]]+Table_Default__XLS_TAB_30_281[[#This Row],[CAT_2_HSB_CNT]]+Table_Default__XLS_TAB_30_281[[#This Row],[CAT_1_HSB_CNT]]</f>
        <v>40</v>
      </c>
      <c r="K17" s="83">
        <f>Table_Default__XLS_TAB_30_281[[#This Row],[CAT_4_WFE_CNT]]+Table_Default__XLS_TAB_30_281[[#This Row],[CAT_3_WFE_CNT]]+Table_Default__XLS_TAB_30_281[[#This Row],[CAT_2_WFE_CNT]]+Table_Default__XLS_TAB_30_281[[#This Row],[CAT_1_WFE_CNT]]</f>
        <v>19</v>
      </c>
      <c r="L17" s="732">
        <v>0</v>
      </c>
      <c r="M17" s="538">
        <f t="shared" si="0"/>
        <v>59</v>
      </c>
      <c r="N17" s="666" t="s">
        <v>276</v>
      </c>
    </row>
    <row r="18" spans="1:14" ht="18" customHeight="1" thickBot="1">
      <c r="A18" s="664" t="s">
        <v>269</v>
      </c>
      <c r="B18" s="731">
        <v>13</v>
      </c>
      <c r="C18" s="731">
        <v>5</v>
      </c>
      <c r="D18" s="731">
        <v>0</v>
      </c>
      <c r="E18" s="731">
        <v>0</v>
      </c>
      <c r="F18" s="731">
        <v>0</v>
      </c>
      <c r="G18" s="731">
        <v>0</v>
      </c>
      <c r="H18" s="731">
        <v>4</v>
      </c>
      <c r="I18" s="731">
        <v>2</v>
      </c>
      <c r="J18" s="83">
        <f>Table_Default__XLS_TAB_30_281[[#This Row],[CAT_4_HSB_CNT]]+Table_Default__XLS_TAB_30_281[[#This Row],[CAT_3_HSB_CNT]]+Table_Default__XLS_TAB_30_281[[#This Row],[CAT_2_HSB_CNT]]+Table_Default__XLS_TAB_30_281[[#This Row],[CAT_1_HSB_CNT]]</f>
        <v>17</v>
      </c>
      <c r="K18" s="83">
        <f>Table_Default__XLS_TAB_30_281[[#This Row],[CAT_4_WFE_CNT]]+Table_Default__XLS_TAB_30_281[[#This Row],[CAT_3_WFE_CNT]]+Table_Default__XLS_TAB_30_281[[#This Row],[CAT_2_WFE_CNT]]+Table_Default__XLS_TAB_30_281[[#This Row],[CAT_1_WFE_CNT]]</f>
        <v>7</v>
      </c>
      <c r="L18" s="732">
        <v>0</v>
      </c>
      <c r="M18" s="538">
        <f t="shared" si="0"/>
        <v>24</v>
      </c>
      <c r="N18" s="666" t="s">
        <v>269</v>
      </c>
    </row>
    <row r="19" spans="1:14" s="175" customFormat="1" ht="18" customHeight="1" thickBot="1">
      <c r="A19" s="664" t="s">
        <v>757</v>
      </c>
      <c r="B19" s="731">
        <v>31</v>
      </c>
      <c r="C19" s="731">
        <v>4</v>
      </c>
      <c r="D19" s="731">
        <v>1</v>
      </c>
      <c r="E19" s="731">
        <v>0</v>
      </c>
      <c r="F19" s="731">
        <v>4</v>
      </c>
      <c r="G19" s="731">
        <v>0</v>
      </c>
      <c r="H19" s="731">
        <v>6</v>
      </c>
      <c r="I19" s="731">
        <v>0</v>
      </c>
      <c r="J19" s="83">
        <f>Table_Default__XLS_TAB_30_281[[#This Row],[CAT_4_HSB_CNT]]+Table_Default__XLS_TAB_30_281[[#This Row],[CAT_3_HSB_CNT]]+Table_Default__XLS_TAB_30_281[[#This Row],[CAT_2_HSB_CNT]]+Table_Default__XLS_TAB_30_281[[#This Row],[CAT_1_HSB_CNT]]</f>
        <v>42</v>
      </c>
      <c r="K19" s="83">
        <f>Table_Default__XLS_TAB_30_281[[#This Row],[CAT_4_WFE_CNT]]+Table_Default__XLS_TAB_30_281[[#This Row],[CAT_3_WFE_CNT]]+Table_Default__XLS_TAB_30_281[[#This Row],[CAT_2_WFE_CNT]]+Table_Default__XLS_TAB_30_281[[#This Row],[CAT_1_WFE_CNT]]</f>
        <v>4</v>
      </c>
      <c r="L19" s="732">
        <v>0</v>
      </c>
      <c r="M19" s="538">
        <f t="shared" si="0"/>
        <v>46</v>
      </c>
      <c r="N19" s="666" t="s">
        <v>757</v>
      </c>
    </row>
    <row r="20" spans="1:14" s="532" customFormat="1" ht="18" customHeight="1">
      <c r="A20" s="667" t="s">
        <v>19</v>
      </c>
      <c r="B20" s="733">
        <v>8</v>
      </c>
      <c r="C20" s="733">
        <v>0</v>
      </c>
      <c r="D20" s="733">
        <v>3</v>
      </c>
      <c r="E20" s="733">
        <v>0</v>
      </c>
      <c r="F20" s="733">
        <v>0</v>
      </c>
      <c r="G20" s="733">
        <v>0</v>
      </c>
      <c r="H20" s="733">
        <v>7</v>
      </c>
      <c r="I20" s="733">
        <v>4</v>
      </c>
      <c r="J20" s="719">
        <f>Table_Default__XLS_TAB_30_281[[#This Row],[CAT_4_HSB_CNT]]+Table_Default__XLS_TAB_30_281[[#This Row],[CAT_3_HSB_CNT]]+Table_Default__XLS_TAB_30_281[[#This Row],[CAT_2_HSB_CNT]]+Table_Default__XLS_TAB_30_281[[#This Row],[CAT_1_HSB_CNT]]</f>
        <v>18</v>
      </c>
      <c r="K20" s="719">
        <f>Table_Default__XLS_TAB_30_281[[#This Row],[CAT_4_WFE_CNT]]+Table_Default__XLS_TAB_30_281[[#This Row],[CAT_3_WFE_CNT]]+Table_Default__XLS_TAB_30_281[[#This Row],[CAT_2_WFE_CNT]]+Table_Default__XLS_TAB_30_281[[#This Row],[CAT_1_WFE_CNT]]</f>
        <v>4</v>
      </c>
      <c r="L20" s="734">
        <v>0</v>
      </c>
      <c r="M20" s="729">
        <f t="shared" si="0"/>
        <v>22</v>
      </c>
      <c r="N20" s="669" t="s">
        <v>20</v>
      </c>
    </row>
    <row r="21" spans="1:14" ht="24.75" customHeight="1">
      <c r="A21" s="547" t="s">
        <v>354</v>
      </c>
      <c r="B21" s="548">
        <f>SUBTOTAL(109,Table_Default__XLS_TAB_30_281[[#All],[CAT_1_HSB_CNT]])</f>
        <v>531</v>
      </c>
      <c r="C21" s="548">
        <f>SUBTOTAL(109,Table_Default__XLS_TAB_30_281[[#All],[CAT_1_WFE_CNT]])</f>
        <v>99</v>
      </c>
      <c r="D21" s="548">
        <f>SUBTOTAL(109,Table_Default__XLS_TAB_30_281[[#All],[CAT_2_HSB_CNT]])</f>
        <v>158</v>
      </c>
      <c r="E21" s="548">
        <f>SUBTOTAL(109,Table_Default__XLS_TAB_30_281[[#All],[CAT_2_WFE_CNT]])</f>
        <v>18</v>
      </c>
      <c r="F21" s="548">
        <f>SUBTOTAL(109,Table_Default__XLS_TAB_30_281[[#All],[CAT_3_HSB_CNT]])</f>
        <v>48</v>
      </c>
      <c r="G21" s="548">
        <f>SUBTOTAL(109,Table_Default__XLS_TAB_30_281[[#All],[CAT_3_WFE_CNT]])</f>
        <v>21</v>
      </c>
      <c r="H21" s="548">
        <f>SUBTOTAL(109,Table_Default__XLS_TAB_30_281[[#All],[CAT_4_HSB_CNT]])</f>
        <v>282</v>
      </c>
      <c r="I21" s="548">
        <f>SUBTOTAL(109,Table_Default__XLS_TAB_30_281[[#All],[CAT_4_WFE_CNT]])</f>
        <v>141</v>
      </c>
      <c r="J21" s="548">
        <f>SUBTOTAL(109,Table_Default__XLS_TAB_30_281[[#All],[TOT_HSB_CNT]])</f>
        <v>1019</v>
      </c>
      <c r="K21" s="548">
        <f>SUBTOTAL(109,Table_Default__XLS_TAB_30_281[[#All],[TOT_WFE_CNT]])</f>
        <v>279</v>
      </c>
      <c r="L21" s="548">
        <f>SUBTOTAL(109,Table_Default__XLS_TAB_30_281[[#All],[TOT_NOTSTAT_CNT]])</f>
        <v>9</v>
      </c>
      <c r="M21" s="548">
        <f>SUBTOTAL(109,Table_Default__XLS_TAB_30_281[[#All],[G_TOTAL]])</f>
        <v>1307</v>
      </c>
      <c r="N21" s="549" t="s">
        <v>22</v>
      </c>
    </row>
    <row r="24" spans="1:14">
      <c r="J24" s="778"/>
    </row>
  </sheetData>
  <mergeCells count="13">
    <mergeCell ref="A4:N4"/>
    <mergeCell ref="A1:N1"/>
    <mergeCell ref="A2:N2"/>
    <mergeCell ref="A3:N3"/>
    <mergeCell ref="A6:A8"/>
    <mergeCell ref="B6:I6"/>
    <mergeCell ref="J6:L7"/>
    <mergeCell ref="N6:N8"/>
    <mergeCell ref="B7:C7"/>
    <mergeCell ref="D7:E7"/>
    <mergeCell ref="F7:G7"/>
    <mergeCell ref="H7:I7"/>
    <mergeCell ref="M6:M8"/>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rightToLeft="1" view="pageBreakPreview" zoomScaleNormal="100" zoomScaleSheetLayoutView="100" workbookViewId="0">
      <selection activeCell="H13" sqref="H13"/>
    </sheetView>
  </sheetViews>
  <sheetFormatPr defaultColWidth="9.140625" defaultRowHeight="12.75"/>
  <cols>
    <col min="1" max="1" width="18" style="1" customWidth="1"/>
    <col min="2" max="5" width="14.28515625" style="1" customWidth="1"/>
    <col min="6" max="6" width="13" style="1" customWidth="1"/>
    <col min="7" max="7" width="14.28515625" style="1" customWidth="1"/>
    <col min="8" max="8" width="13.5703125" style="1" customWidth="1"/>
    <col min="9" max="9" width="20.28515625" style="1" customWidth="1"/>
    <col min="10" max="16384" width="9.140625" style="1"/>
  </cols>
  <sheetData>
    <row r="1" spans="1:9" ht="24" customHeight="1">
      <c r="A1" s="974" t="s">
        <v>551</v>
      </c>
      <c r="B1" s="974"/>
      <c r="C1" s="974"/>
      <c r="D1" s="974"/>
      <c r="E1" s="974"/>
      <c r="F1" s="974"/>
      <c r="G1" s="974"/>
      <c r="H1" s="974"/>
      <c r="I1" s="974"/>
    </row>
    <row r="2" spans="1:9" ht="15.75" customHeight="1">
      <c r="A2" s="983" t="s">
        <v>550</v>
      </c>
      <c r="B2" s="983"/>
      <c r="C2" s="983"/>
      <c r="D2" s="983"/>
      <c r="E2" s="983"/>
      <c r="F2" s="983"/>
      <c r="G2" s="983"/>
      <c r="H2" s="983"/>
      <c r="I2" s="983"/>
    </row>
    <row r="3" spans="1:9" ht="15.75" customHeight="1">
      <c r="A3" s="983">
        <v>2015</v>
      </c>
      <c r="B3" s="983"/>
      <c r="C3" s="983"/>
      <c r="D3" s="983"/>
      <c r="E3" s="983"/>
      <c r="F3" s="983"/>
      <c r="G3" s="983"/>
      <c r="H3" s="983"/>
      <c r="I3" s="983"/>
    </row>
    <row r="4" spans="1:9" ht="18.75" customHeight="1">
      <c r="A4" s="983" t="s">
        <v>330</v>
      </c>
      <c r="B4" s="983"/>
      <c r="C4" s="983"/>
      <c r="D4" s="983"/>
      <c r="E4" s="983"/>
      <c r="F4" s="983"/>
      <c r="G4" s="983"/>
      <c r="H4" s="983"/>
      <c r="I4" s="983"/>
    </row>
    <row r="5" spans="1:9" ht="18.75" customHeight="1">
      <c r="A5" s="647"/>
      <c r="B5" s="647"/>
      <c r="C5" s="647"/>
      <c r="D5" s="647"/>
      <c r="E5" s="647"/>
      <c r="F5" s="691"/>
      <c r="G5" s="647"/>
      <c r="H5" s="647"/>
      <c r="I5" s="647"/>
    </row>
    <row r="6" spans="1:9" s="93" customFormat="1" ht="16.5">
      <c r="A6" s="636" t="s">
        <v>873</v>
      </c>
      <c r="B6" s="637"/>
      <c r="C6" s="638"/>
      <c r="D6" s="638"/>
      <c r="E6" s="638"/>
      <c r="F6" s="638"/>
      <c r="G6" s="643"/>
      <c r="H6" s="643"/>
      <c r="I6" s="643" t="s">
        <v>874</v>
      </c>
    </row>
    <row r="7" spans="1:9" ht="27.75" customHeight="1" thickBot="1">
      <c r="A7" s="937" t="s">
        <v>539</v>
      </c>
      <c r="B7" s="1026" t="s">
        <v>508</v>
      </c>
      <c r="C7" s="1026"/>
      <c r="D7" s="1026"/>
      <c r="E7" s="1026"/>
      <c r="F7" s="1026"/>
      <c r="G7" s="1026"/>
      <c r="H7" s="980" t="s">
        <v>538</v>
      </c>
      <c r="I7" s="1028" t="s">
        <v>537</v>
      </c>
    </row>
    <row r="8" spans="1:9" ht="57" customHeight="1">
      <c r="A8" s="979"/>
      <c r="B8" s="621" t="s">
        <v>951</v>
      </c>
      <c r="C8" s="621" t="s">
        <v>952</v>
      </c>
      <c r="D8" s="621" t="s">
        <v>953</v>
      </c>
      <c r="E8" s="621" t="s">
        <v>954</v>
      </c>
      <c r="F8" s="690" t="s">
        <v>293</v>
      </c>
      <c r="G8" s="576" t="s">
        <v>241</v>
      </c>
      <c r="H8" s="981"/>
      <c r="I8" s="1030"/>
    </row>
    <row r="9" spans="1:9" ht="27" customHeight="1" thickBot="1">
      <c r="A9" s="384" t="s">
        <v>536</v>
      </c>
      <c r="B9" s="366">
        <v>127</v>
      </c>
      <c r="C9" s="97">
        <v>16</v>
      </c>
      <c r="D9" s="97">
        <v>38</v>
      </c>
      <c r="E9" s="97">
        <v>1</v>
      </c>
      <c r="F9" s="367">
        <v>0</v>
      </c>
      <c r="G9" s="191">
        <f>SUM(B9:F9)</f>
        <v>182</v>
      </c>
      <c r="H9" s="387">
        <f>G9/$G$21%</f>
        <v>25.779036827195469</v>
      </c>
      <c r="I9" s="91" t="s">
        <v>535</v>
      </c>
    </row>
    <row r="10" spans="1:9" ht="16.5" customHeight="1" thickBot="1">
      <c r="A10" s="385">
        <v>-1</v>
      </c>
      <c r="B10" s="366">
        <v>4</v>
      </c>
      <c r="C10" s="97">
        <v>56</v>
      </c>
      <c r="D10" s="97">
        <v>5</v>
      </c>
      <c r="E10" s="97">
        <v>3</v>
      </c>
      <c r="F10" s="367">
        <v>0</v>
      </c>
      <c r="G10" s="191">
        <f t="shared" ref="G10:G20" si="0">SUM(B10:F10)</f>
        <v>68</v>
      </c>
      <c r="H10" s="388">
        <f t="shared" ref="H10:H20" si="1">G10/$G$21%</f>
        <v>9.6317280453257794</v>
      </c>
      <c r="I10" s="79">
        <v>-1</v>
      </c>
    </row>
    <row r="11" spans="1:9" ht="16.5" customHeight="1" thickBot="1">
      <c r="A11" s="386">
        <v>1</v>
      </c>
      <c r="B11" s="366">
        <v>5</v>
      </c>
      <c r="C11" s="97">
        <v>64</v>
      </c>
      <c r="D11" s="97">
        <v>8</v>
      </c>
      <c r="E11" s="97">
        <v>2</v>
      </c>
      <c r="F11" s="367">
        <v>0</v>
      </c>
      <c r="G11" s="191">
        <f t="shared" si="0"/>
        <v>79</v>
      </c>
      <c r="H11" s="389">
        <f t="shared" si="1"/>
        <v>11.189801699716714</v>
      </c>
      <c r="I11" s="77">
        <v>1</v>
      </c>
    </row>
    <row r="12" spans="1:9" ht="16.5" customHeight="1" thickBot="1">
      <c r="A12" s="385">
        <v>2</v>
      </c>
      <c r="B12" s="366">
        <v>6</v>
      </c>
      <c r="C12" s="97">
        <v>49</v>
      </c>
      <c r="D12" s="97">
        <v>3</v>
      </c>
      <c r="E12" s="97">
        <v>3</v>
      </c>
      <c r="F12" s="367">
        <v>0</v>
      </c>
      <c r="G12" s="191">
        <f t="shared" si="0"/>
        <v>61</v>
      </c>
      <c r="H12" s="388">
        <f t="shared" si="1"/>
        <v>8.640226628895185</v>
      </c>
      <c r="I12" s="79">
        <v>2</v>
      </c>
    </row>
    <row r="13" spans="1:9" ht="16.5" customHeight="1" thickBot="1">
      <c r="A13" s="386">
        <v>3</v>
      </c>
      <c r="B13" s="366">
        <v>7</v>
      </c>
      <c r="C13" s="97">
        <v>25</v>
      </c>
      <c r="D13" s="97">
        <v>4</v>
      </c>
      <c r="E13" s="97">
        <v>0</v>
      </c>
      <c r="F13" s="367">
        <v>0</v>
      </c>
      <c r="G13" s="191">
        <f t="shared" si="0"/>
        <v>36</v>
      </c>
      <c r="H13" s="389">
        <f t="shared" si="1"/>
        <v>5.0991501416430598</v>
      </c>
      <c r="I13" s="77">
        <v>3</v>
      </c>
    </row>
    <row r="14" spans="1:9" ht="16.5" customHeight="1" thickBot="1">
      <c r="A14" s="385">
        <v>4</v>
      </c>
      <c r="B14" s="366">
        <v>2</v>
      </c>
      <c r="C14" s="97">
        <v>27</v>
      </c>
      <c r="D14" s="97">
        <v>2</v>
      </c>
      <c r="E14" s="97">
        <v>1</v>
      </c>
      <c r="F14" s="367">
        <v>0</v>
      </c>
      <c r="G14" s="191">
        <f t="shared" si="0"/>
        <v>32</v>
      </c>
      <c r="H14" s="388">
        <f t="shared" si="1"/>
        <v>4.5325779036827196</v>
      </c>
      <c r="I14" s="79">
        <v>4</v>
      </c>
    </row>
    <row r="15" spans="1:9" ht="16.5" customHeight="1" thickBot="1">
      <c r="A15" s="386" t="s">
        <v>534</v>
      </c>
      <c r="B15" s="366">
        <v>8</v>
      </c>
      <c r="C15" s="97">
        <v>68</v>
      </c>
      <c r="D15" s="97">
        <v>6</v>
      </c>
      <c r="E15" s="97">
        <v>10</v>
      </c>
      <c r="F15" s="367">
        <v>0</v>
      </c>
      <c r="G15" s="191">
        <f t="shared" si="0"/>
        <v>92</v>
      </c>
      <c r="H15" s="389">
        <f t="shared" si="1"/>
        <v>13.031161473087819</v>
      </c>
      <c r="I15" s="77" t="s">
        <v>533</v>
      </c>
    </row>
    <row r="16" spans="1:9" ht="16.5" customHeight="1" thickBot="1">
      <c r="A16" s="385" t="s">
        <v>532</v>
      </c>
      <c r="B16" s="366">
        <v>4</v>
      </c>
      <c r="C16" s="97">
        <v>46</v>
      </c>
      <c r="D16" s="97">
        <v>6</v>
      </c>
      <c r="E16" s="97">
        <v>7</v>
      </c>
      <c r="F16" s="367">
        <v>0</v>
      </c>
      <c r="G16" s="191">
        <f t="shared" si="0"/>
        <v>63</v>
      </c>
      <c r="H16" s="388">
        <f t="shared" si="1"/>
        <v>8.9235127478753551</v>
      </c>
      <c r="I16" s="79" t="s">
        <v>531</v>
      </c>
    </row>
    <row r="17" spans="1:9" ht="16.5" customHeight="1" thickBot="1">
      <c r="A17" s="386" t="s">
        <v>530</v>
      </c>
      <c r="B17" s="366">
        <v>3</v>
      </c>
      <c r="C17" s="97">
        <v>20</v>
      </c>
      <c r="D17" s="97">
        <v>3</v>
      </c>
      <c r="E17" s="97">
        <v>2</v>
      </c>
      <c r="F17" s="367">
        <v>0</v>
      </c>
      <c r="G17" s="191">
        <f t="shared" si="0"/>
        <v>28</v>
      </c>
      <c r="H17" s="389">
        <f t="shared" si="1"/>
        <v>3.9660056657223799</v>
      </c>
      <c r="I17" s="77" t="s">
        <v>276</v>
      </c>
    </row>
    <row r="18" spans="1:9" ht="16.5" customHeight="1" thickBot="1">
      <c r="A18" s="385" t="s">
        <v>311</v>
      </c>
      <c r="B18" s="366">
        <v>2</v>
      </c>
      <c r="C18" s="97">
        <v>9</v>
      </c>
      <c r="D18" s="97">
        <v>4</v>
      </c>
      <c r="E18" s="97">
        <v>3</v>
      </c>
      <c r="F18" s="367">
        <v>0</v>
      </c>
      <c r="G18" s="191">
        <f t="shared" si="0"/>
        <v>18</v>
      </c>
      <c r="H18" s="388">
        <f>G18/$G$21%</f>
        <v>2.5495750708215299</v>
      </c>
      <c r="I18" s="79" t="s">
        <v>269</v>
      </c>
    </row>
    <row r="19" spans="1:9" ht="16.5" customHeight="1" thickBot="1">
      <c r="A19" s="386" t="s">
        <v>529</v>
      </c>
      <c r="B19" s="366">
        <v>6</v>
      </c>
      <c r="C19" s="97">
        <v>30</v>
      </c>
      <c r="D19" s="97">
        <v>2</v>
      </c>
      <c r="E19" s="97">
        <v>1</v>
      </c>
      <c r="F19" s="367">
        <v>0</v>
      </c>
      <c r="G19" s="191">
        <f t="shared" si="0"/>
        <v>39</v>
      </c>
      <c r="H19" s="389">
        <f t="shared" si="1"/>
        <v>5.5240793201133149</v>
      </c>
      <c r="I19" s="77" t="s">
        <v>529</v>
      </c>
    </row>
    <row r="20" spans="1:9" ht="16.5" customHeight="1" thickBot="1">
      <c r="A20" s="390" t="s">
        <v>19</v>
      </c>
      <c r="B20" s="368">
        <v>1</v>
      </c>
      <c r="C20" s="369">
        <v>7</v>
      </c>
      <c r="D20" s="369">
        <v>0</v>
      </c>
      <c r="E20" s="369">
        <v>0</v>
      </c>
      <c r="F20" s="370">
        <v>0</v>
      </c>
      <c r="G20" s="191">
        <f t="shared" si="0"/>
        <v>8</v>
      </c>
      <c r="H20" s="391">
        <f t="shared" si="1"/>
        <v>1.1331444759206799</v>
      </c>
      <c r="I20" s="146" t="s">
        <v>20</v>
      </c>
    </row>
    <row r="21" spans="1:9" ht="20.100000000000001" customHeight="1" thickBot="1">
      <c r="A21" s="92" t="s">
        <v>21</v>
      </c>
      <c r="B21" s="395">
        <f t="shared" ref="B21" si="2">SUM(B9:B20)</f>
        <v>175</v>
      </c>
      <c r="C21" s="395">
        <f t="shared" ref="C21:E21" si="3">SUM(C9:C20)</f>
        <v>417</v>
      </c>
      <c r="D21" s="395">
        <f t="shared" si="3"/>
        <v>81</v>
      </c>
      <c r="E21" s="395">
        <f t="shared" si="3"/>
        <v>33</v>
      </c>
      <c r="F21" s="395">
        <v>0</v>
      </c>
      <c r="G21" s="395">
        <f>SUM(G9:G20)</f>
        <v>706</v>
      </c>
      <c r="H21" s="393">
        <f>SUM(H9:H20)</f>
        <v>100</v>
      </c>
      <c r="I21" s="91" t="s">
        <v>176</v>
      </c>
    </row>
    <row r="22" spans="1:9" ht="25.5" customHeight="1">
      <c r="A22" s="379" t="s">
        <v>528</v>
      </c>
      <c r="B22" s="394">
        <f>B21/$G$21%</f>
        <v>24.787535410764875</v>
      </c>
      <c r="C22" s="394">
        <f t="shared" ref="C22:G22" si="4">C21/$G$21%</f>
        <v>59.065155807365443</v>
      </c>
      <c r="D22" s="394">
        <f t="shared" si="4"/>
        <v>11.473087818696884</v>
      </c>
      <c r="E22" s="394">
        <f t="shared" si="4"/>
        <v>4.6742209631728047</v>
      </c>
      <c r="F22" s="394">
        <f t="shared" si="4"/>
        <v>0</v>
      </c>
      <c r="G22" s="394">
        <f t="shared" si="4"/>
        <v>100</v>
      </c>
      <c r="H22" s="394"/>
      <c r="I22" s="381" t="s">
        <v>527</v>
      </c>
    </row>
    <row r="23" spans="1:9">
      <c r="F23" s="182">
        <f>SUM(F9:F21)</f>
        <v>0</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rightToLeft="1" view="pageBreakPreview" zoomScaleNormal="100" zoomScaleSheetLayoutView="100" workbookViewId="0">
      <selection activeCell="A3" sqref="A3:I3"/>
    </sheetView>
  </sheetViews>
  <sheetFormatPr defaultColWidth="9.140625" defaultRowHeight="12.75"/>
  <cols>
    <col min="1" max="1" width="18" style="1" customWidth="1"/>
    <col min="2" max="5" width="14.28515625" style="1" customWidth="1"/>
    <col min="6" max="6" width="13" style="1" customWidth="1"/>
    <col min="7" max="7" width="14.28515625" style="1" customWidth="1"/>
    <col min="8" max="8" width="13.5703125" style="1" customWidth="1"/>
    <col min="9" max="9" width="20.28515625" style="1" customWidth="1"/>
    <col min="10" max="16384" width="9.140625" style="1"/>
  </cols>
  <sheetData>
    <row r="1" spans="1:9" ht="24" customHeight="1">
      <c r="A1" s="974" t="s">
        <v>551</v>
      </c>
      <c r="B1" s="974"/>
      <c r="C1" s="974"/>
      <c r="D1" s="974"/>
      <c r="E1" s="974"/>
      <c r="F1" s="974"/>
      <c r="G1" s="974"/>
      <c r="H1" s="974"/>
      <c r="I1" s="974"/>
    </row>
    <row r="2" spans="1:9" ht="15.75" customHeight="1">
      <c r="A2" s="983" t="s">
        <v>550</v>
      </c>
      <c r="B2" s="983"/>
      <c r="C2" s="983"/>
      <c r="D2" s="983"/>
      <c r="E2" s="983"/>
      <c r="F2" s="983"/>
      <c r="G2" s="983"/>
      <c r="H2" s="983"/>
      <c r="I2" s="983"/>
    </row>
    <row r="3" spans="1:9" ht="15.75" customHeight="1">
      <c r="A3" s="983">
        <v>2015</v>
      </c>
      <c r="B3" s="983"/>
      <c r="C3" s="983"/>
      <c r="D3" s="983"/>
      <c r="E3" s="983"/>
      <c r="F3" s="983"/>
      <c r="G3" s="983"/>
      <c r="H3" s="983"/>
      <c r="I3" s="983"/>
    </row>
    <row r="4" spans="1:9" ht="18.75" customHeight="1">
      <c r="A4" s="983" t="s">
        <v>335</v>
      </c>
      <c r="B4" s="983"/>
      <c r="C4" s="983"/>
      <c r="D4" s="983"/>
      <c r="E4" s="983"/>
      <c r="F4" s="983"/>
      <c r="G4" s="983"/>
      <c r="H4" s="983"/>
      <c r="I4" s="983"/>
    </row>
    <row r="5" spans="1:9" ht="18.75" customHeight="1">
      <c r="A5" s="647"/>
      <c r="B5" s="647"/>
      <c r="C5" s="647"/>
      <c r="D5" s="647"/>
      <c r="E5" s="647"/>
      <c r="F5" s="691"/>
      <c r="G5" s="647"/>
      <c r="H5" s="647"/>
      <c r="I5" s="647"/>
    </row>
    <row r="6" spans="1:9" s="93" customFormat="1" ht="16.5">
      <c r="A6" s="636" t="s">
        <v>877</v>
      </c>
      <c r="B6" s="637"/>
      <c r="C6" s="638"/>
      <c r="D6" s="638"/>
      <c r="E6" s="638"/>
      <c r="F6" s="638"/>
      <c r="G6" s="643"/>
      <c r="H6" s="643"/>
      <c r="I6" s="643" t="s">
        <v>878</v>
      </c>
    </row>
    <row r="7" spans="1:9" ht="27.75" customHeight="1" thickBot="1">
      <c r="A7" s="937" t="s">
        <v>539</v>
      </c>
      <c r="B7" s="1026" t="s">
        <v>508</v>
      </c>
      <c r="C7" s="1026"/>
      <c r="D7" s="1026"/>
      <c r="E7" s="1026"/>
      <c r="F7" s="1026"/>
      <c r="G7" s="1026"/>
      <c r="H7" s="980" t="s">
        <v>538</v>
      </c>
      <c r="I7" s="1028" t="s">
        <v>537</v>
      </c>
    </row>
    <row r="8" spans="1:9" ht="57" customHeight="1">
      <c r="A8" s="979"/>
      <c r="B8" s="621" t="s">
        <v>951</v>
      </c>
      <c r="C8" s="621" t="s">
        <v>952</v>
      </c>
      <c r="D8" s="621" t="s">
        <v>953</v>
      </c>
      <c r="E8" s="621" t="s">
        <v>954</v>
      </c>
      <c r="F8" s="690" t="s">
        <v>293</v>
      </c>
      <c r="G8" s="576" t="s">
        <v>241</v>
      </c>
      <c r="H8" s="981"/>
      <c r="I8" s="1030"/>
    </row>
    <row r="9" spans="1:9" ht="27" customHeight="1" thickBot="1">
      <c r="A9" s="384" t="s">
        <v>536</v>
      </c>
      <c r="B9" s="366">
        <v>69</v>
      </c>
      <c r="C9" s="97">
        <v>9</v>
      </c>
      <c r="D9" s="97">
        <v>36</v>
      </c>
      <c r="E9" s="97">
        <v>0</v>
      </c>
      <c r="F9" s="367">
        <v>0</v>
      </c>
      <c r="G9" s="191">
        <f>SUM(B9:F9)</f>
        <v>114</v>
      </c>
      <c r="H9" s="387">
        <f t="shared" ref="H9:H20" si="0">G9/$G$21%</f>
        <v>18.96838602329451</v>
      </c>
      <c r="I9" s="91" t="s">
        <v>535</v>
      </c>
    </row>
    <row r="10" spans="1:9" ht="16.5" customHeight="1" thickBot="1">
      <c r="A10" s="385">
        <v>-1</v>
      </c>
      <c r="B10" s="366">
        <v>2</v>
      </c>
      <c r="C10" s="97">
        <v>62</v>
      </c>
      <c r="D10" s="97">
        <v>7</v>
      </c>
      <c r="E10" s="97">
        <v>2</v>
      </c>
      <c r="F10" s="367">
        <v>0</v>
      </c>
      <c r="G10" s="191">
        <f t="shared" ref="G10:G20" si="1">SUM(B10:F10)</f>
        <v>73</v>
      </c>
      <c r="H10" s="388">
        <f t="shared" si="0"/>
        <v>12.146422628951747</v>
      </c>
      <c r="I10" s="79">
        <v>-1</v>
      </c>
    </row>
    <row r="11" spans="1:9" ht="16.5" customHeight="1" thickBot="1">
      <c r="A11" s="386">
        <v>1</v>
      </c>
      <c r="B11" s="366">
        <v>3</v>
      </c>
      <c r="C11" s="97">
        <v>55</v>
      </c>
      <c r="D11" s="97">
        <v>9</v>
      </c>
      <c r="E11" s="97">
        <v>4</v>
      </c>
      <c r="F11" s="367">
        <v>0</v>
      </c>
      <c r="G11" s="191">
        <f t="shared" si="1"/>
        <v>71</v>
      </c>
      <c r="H11" s="389">
        <f t="shared" si="0"/>
        <v>11.813643926788686</v>
      </c>
      <c r="I11" s="77">
        <v>1</v>
      </c>
    </row>
    <row r="12" spans="1:9" ht="16.5" customHeight="1" thickBot="1">
      <c r="A12" s="385">
        <v>2</v>
      </c>
      <c r="B12" s="366">
        <v>6</v>
      </c>
      <c r="C12" s="97">
        <v>36</v>
      </c>
      <c r="D12" s="97">
        <v>11</v>
      </c>
      <c r="E12" s="97">
        <v>0</v>
      </c>
      <c r="F12" s="367">
        <v>0</v>
      </c>
      <c r="G12" s="191">
        <f t="shared" si="1"/>
        <v>53</v>
      </c>
      <c r="H12" s="388">
        <f t="shared" si="0"/>
        <v>8.8186356073211325</v>
      </c>
      <c r="I12" s="79">
        <v>2</v>
      </c>
    </row>
    <row r="13" spans="1:9" ht="16.5" customHeight="1" thickBot="1">
      <c r="A13" s="386">
        <v>3</v>
      </c>
      <c r="B13" s="366">
        <v>4</v>
      </c>
      <c r="C13" s="97">
        <v>32</v>
      </c>
      <c r="D13" s="97">
        <v>7</v>
      </c>
      <c r="E13" s="97">
        <v>2</v>
      </c>
      <c r="F13" s="367">
        <v>0</v>
      </c>
      <c r="G13" s="191">
        <f t="shared" si="1"/>
        <v>45</v>
      </c>
      <c r="H13" s="389">
        <f t="shared" si="0"/>
        <v>7.4875207986688856</v>
      </c>
      <c r="I13" s="77">
        <v>3</v>
      </c>
    </row>
    <row r="14" spans="1:9" ht="16.5" customHeight="1" thickBot="1">
      <c r="A14" s="385">
        <v>4</v>
      </c>
      <c r="B14" s="366">
        <v>3</v>
      </c>
      <c r="C14" s="97">
        <v>22</v>
      </c>
      <c r="D14" s="97">
        <v>5</v>
      </c>
      <c r="E14" s="97">
        <v>3</v>
      </c>
      <c r="F14" s="367">
        <v>0</v>
      </c>
      <c r="G14" s="191">
        <f t="shared" si="1"/>
        <v>33</v>
      </c>
      <c r="H14" s="388">
        <f t="shared" si="0"/>
        <v>5.4908485856905163</v>
      </c>
      <c r="I14" s="79">
        <v>4</v>
      </c>
    </row>
    <row r="15" spans="1:9" ht="16.5" customHeight="1" thickBot="1">
      <c r="A15" s="386" t="s">
        <v>534</v>
      </c>
      <c r="B15" s="366">
        <v>11</v>
      </c>
      <c r="C15" s="97">
        <v>70</v>
      </c>
      <c r="D15" s="97">
        <v>23</v>
      </c>
      <c r="E15" s="97">
        <v>7</v>
      </c>
      <c r="F15" s="367">
        <v>0</v>
      </c>
      <c r="G15" s="191">
        <f t="shared" si="1"/>
        <v>111</v>
      </c>
      <c r="H15" s="389">
        <f t="shared" si="0"/>
        <v>18.469217970049918</v>
      </c>
      <c r="I15" s="77" t="s">
        <v>533</v>
      </c>
    </row>
    <row r="16" spans="1:9" ht="16.5" customHeight="1" thickBot="1">
      <c r="A16" s="385" t="s">
        <v>532</v>
      </c>
      <c r="B16" s="366">
        <v>6</v>
      </c>
      <c r="C16" s="97">
        <v>29</v>
      </c>
      <c r="D16" s="97">
        <v>5</v>
      </c>
      <c r="E16" s="97">
        <v>3</v>
      </c>
      <c r="F16" s="367">
        <v>0</v>
      </c>
      <c r="G16" s="191">
        <f t="shared" si="1"/>
        <v>43</v>
      </c>
      <c r="H16" s="388">
        <f t="shared" si="0"/>
        <v>7.1547420965058235</v>
      </c>
      <c r="I16" s="79" t="s">
        <v>531</v>
      </c>
    </row>
    <row r="17" spans="1:9" ht="16.5" customHeight="1" thickBot="1">
      <c r="A17" s="386" t="s">
        <v>530</v>
      </c>
      <c r="B17" s="366">
        <v>6</v>
      </c>
      <c r="C17" s="97">
        <v>16</v>
      </c>
      <c r="D17" s="97">
        <v>6</v>
      </c>
      <c r="E17" s="97">
        <v>3</v>
      </c>
      <c r="F17" s="367">
        <v>0</v>
      </c>
      <c r="G17" s="191">
        <f t="shared" si="1"/>
        <v>31</v>
      </c>
      <c r="H17" s="389">
        <f t="shared" si="0"/>
        <v>5.1580698835274541</v>
      </c>
      <c r="I17" s="77" t="s">
        <v>276</v>
      </c>
    </row>
    <row r="18" spans="1:9" ht="16.5" customHeight="1" thickBot="1">
      <c r="A18" s="385" t="s">
        <v>311</v>
      </c>
      <c r="B18" s="366">
        <v>2</v>
      </c>
      <c r="C18" s="97">
        <v>2</v>
      </c>
      <c r="D18" s="97">
        <v>2</v>
      </c>
      <c r="E18" s="97">
        <v>0</v>
      </c>
      <c r="F18" s="367">
        <v>0</v>
      </c>
      <c r="G18" s="191">
        <f t="shared" si="1"/>
        <v>6</v>
      </c>
      <c r="H18" s="388">
        <f t="shared" si="0"/>
        <v>0.99833610648918469</v>
      </c>
      <c r="I18" s="79" t="s">
        <v>269</v>
      </c>
    </row>
    <row r="19" spans="1:9" ht="16.5" customHeight="1" thickBot="1">
      <c r="A19" s="386" t="s">
        <v>529</v>
      </c>
      <c r="B19" s="366">
        <v>1</v>
      </c>
      <c r="C19" s="97">
        <v>5</v>
      </c>
      <c r="D19" s="97">
        <v>0</v>
      </c>
      <c r="E19" s="97">
        <v>1</v>
      </c>
      <c r="F19" s="367">
        <v>0</v>
      </c>
      <c r="G19" s="191">
        <f t="shared" si="1"/>
        <v>7</v>
      </c>
      <c r="H19" s="389">
        <f t="shared" si="0"/>
        <v>1.1647254575707155</v>
      </c>
      <c r="I19" s="77" t="s">
        <v>529</v>
      </c>
    </row>
    <row r="20" spans="1:9" ht="16.5" customHeight="1" thickBot="1">
      <c r="A20" s="390" t="s">
        <v>19</v>
      </c>
      <c r="B20" s="368">
        <v>1</v>
      </c>
      <c r="C20" s="369">
        <v>12</v>
      </c>
      <c r="D20" s="369">
        <v>1</v>
      </c>
      <c r="E20" s="369">
        <v>0</v>
      </c>
      <c r="F20" s="370">
        <v>0</v>
      </c>
      <c r="G20" s="191">
        <f t="shared" si="1"/>
        <v>14</v>
      </c>
      <c r="H20" s="391">
        <f t="shared" si="0"/>
        <v>2.3294509151414311</v>
      </c>
      <c r="I20" s="146" t="s">
        <v>20</v>
      </c>
    </row>
    <row r="21" spans="1:9" ht="20.100000000000001" customHeight="1" thickBot="1">
      <c r="A21" s="92" t="s">
        <v>21</v>
      </c>
      <c r="B21" s="395">
        <f t="shared" ref="B21:H21" si="2">SUM(B9:B20)</f>
        <v>114</v>
      </c>
      <c r="C21" s="395">
        <f t="shared" ref="C21:G21" si="3">SUM(C9:C20)</f>
        <v>350</v>
      </c>
      <c r="D21" s="395">
        <f t="shared" si="3"/>
        <v>112</v>
      </c>
      <c r="E21" s="395">
        <f t="shared" si="3"/>
        <v>25</v>
      </c>
      <c r="F21" s="395">
        <f t="shared" si="3"/>
        <v>0</v>
      </c>
      <c r="G21" s="395">
        <f t="shared" si="3"/>
        <v>601</v>
      </c>
      <c r="H21" s="393">
        <f t="shared" si="2"/>
        <v>100.00000000000001</v>
      </c>
      <c r="I21" s="91" t="s">
        <v>176</v>
      </c>
    </row>
    <row r="22" spans="1:9" ht="25.5" customHeight="1">
      <c r="A22" s="379" t="s">
        <v>528</v>
      </c>
      <c r="B22" s="394">
        <f>B21/$G$21%</f>
        <v>18.96838602329451</v>
      </c>
      <c r="C22" s="394">
        <f t="shared" ref="C22:G22" si="4">C21/$G$21%</f>
        <v>58.236272878535779</v>
      </c>
      <c r="D22" s="394">
        <f t="shared" si="4"/>
        <v>18.635607321131449</v>
      </c>
      <c r="E22" s="394">
        <f t="shared" si="4"/>
        <v>4.1597337770382694</v>
      </c>
      <c r="F22" s="394">
        <f t="shared" si="4"/>
        <v>0</v>
      </c>
      <c r="G22" s="394">
        <f t="shared" si="4"/>
        <v>100</v>
      </c>
      <c r="H22" s="394"/>
      <c r="I22" s="381" t="s">
        <v>527</v>
      </c>
    </row>
  </sheetData>
  <mergeCells count="8">
    <mergeCell ref="A7:A8"/>
    <mergeCell ref="A1:I1"/>
    <mergeCell ref="A2:I2"/>
    <mergeCell ref="A3:I3"/>
    <mergeCell ref="A4:I4"/>
    <mergeCell ref="B7:G7"/>
    <mergeCell ref="H7:H8"/>
    <mergeCell ref="I7:I8"/>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rightToLeft="1" view="pageBreakPreview" topLeftCell="A22" zoomScaleNormal="100" zoomScaleSheetLayoutView="100" workbookViewId="0">
      <selection activeCell="G13" sqref="G13"/>
    </sheetView>
  </sheetViews>
  <sheetFormatPr defaultColWidth="9.140625" defaultRowHeight="12.75"/>
  <cols>
    <col min="1" max="1" width="35.7109375" style="2" customWidth="1"/>
    <col min="2" max="2" width="5.7109375" style="2" customWidth="1"/>
    <col min="3" max="3" width="5.28515625" style="2" customWidth="1"/>
    <col min="4" max="4" width="5.7109375" style="2" customWidth="1"/>
    <col min="5" max="5" width="35.7109375" style="2" customWidth="1"/>
    <col min="6" max="16384" width="9.140625" style="2"/>
  </cols>
  <sheetData>
    <row r="1" spans="1:10" ht="41.25" customHeight="1" thickBot="1">
      <c r="A1" s="923" t="s">
        <v>138</v>
      </c>
      <c r="B1" s="923"/>
      <c r="C1" s="63"/>
      <c r="D1" s="63"/>
      <c r="E1" s="72" t="s">
        <v>137</v>
      </c>
    </row>
    <row r="2" spans="1:10" s="68" customFormat="1" ht="27.75" customHeight="1" thickBot="1">
      <c r="A2" s="913" t="s">
        <v>136</v>
      </c>
      <c r="B2" s="914"/>
      <c r="C2" s="69"/>
      <c r="D2" s="926" t="s">
        <v>135</v>
      </c>
      <c r="E2" s="927"/>
    </row>
    <row r="3" spans="1:10" ht="16.5">
      <c r="A3" s="32"/>
      <c r="B3" s="32"/>
      <c r="C3" s="30"/>
      <c r="D3" s="30"/>
      <c r="E3" s="31"/>
    </row>
    <row r="4" spans="1:10" ht="17.25" customHeight="1">
      <c r="A4" s="924" t="s">
        <v>134</v>
      </c>
      <c r="B4" s="924"/>
      <c r="C4" s="30"/>
      <c r="D4" s="929" t="s">
        <v>133</v>
      </c>
      <c r="E4" s="929"/>
    </row>
    <row r="5" spans="1:10" ht="43.5" customHeight="1">
      <c r="A5" s="925" t="s">
        <v>132</v>
      </c>
      <c r="B5" s="925"/>
      <c r="D5" s="928" t="s">
        <v>131</v>
      </c>
      <c r="E5" s="928"/>
    </row>
    <row r="6" spans="1:10" ht="14.25" customHeight="1">
      <c r="A6" s="933" t="s">
        <v>103</v>
      </c>
      <c r="B6" s="930" t="s">
        <v>123</v>
      </c>
      <c r="C6" s="930"/>
      <c r="D6" s="930"/>
      <c r="E6" s="932" t="s">
        <v>130</v>
      </c>
      <c r="F6" s="66"/>
      <c r="J6" s="65"/>
    </row>
    <row r="7" spans="1:10" ht="14.25" customHeight="1">
      <c r="A7" s="933"/>
      <c r="B7" s="931" t="s">
        <v>110</v>
      </c>
      <c r="C7" s="931"/>
      <c r="D7" s="931"/>
      <c r="E7" s="932"/>
      <c r="F7" s="66"/>
      <c r="J7" s="65"/>
    </row>
    <row r="8" spans="1:10" ht="15.75">
      <c r="A8" s="925" t="s">
        <v>129</v>
      </c>
      <c r="B8" s="925"/>
      <c r="D8" s="70"/>
      <c r="E8" s="558" t="s">
        <v>128</v>
      </c>
    </row>
    <row r="9" spans="1:10" ht="30.75" customHeight="1">
      <c r="A9" s="925" t="s">
        <v>924</v>
      </c>
      <c r="B9" s="925"/>
      <c r="D9" s="70"/>
      <c r="E9" s="558" t="s">
        <v>925</v>
      </c>
    </row>
    <row r="10" spans="1:10" ht="15.75">
      <c r="A10" s="925" t="s">
        <v>926</v>
      </c>
      <c r="B10" s="925"/>
      <c r="D10" s="70"/>
      <c r="E10" s="558" t="s">
        <v>927</v>
      </c>
    </row>
    <row r="12" spans="1:10" ht="15.75">
      <c r="A12" s="65" t="s">
        <v>127</v>
      </c>
      <c r="B12" s="67"/>
      <c r="C12" s="67"/>
      <c r="E12" s="566" t="s">
        <v>126</v>
      </c>
    </row>
    <row r="13" spans="1:10" ht="41.25" customHeight="1">
      <c r="A13" s="925" t="s">
        <v>125</v>
      </c>
      <c r="B13" s="925"/>
      <c r="D13" s="928" t="s">
        <v>124</v>
      </c>
      <c r="E13" s="928"/>
    </row>
    <row r="14" spans="1:10" ht="14.25" customHeight="1">
      <c r="A14" s="933" t="s">
        <v>103</v>
      </c>
      <c r="B14" s="930" t="s">
        <v>123</v>
      </c>
      <c r="C14" s="930"/>
      <c r="D14" s="930"/>
      <c r="E14" s="932" t="s">
        <v>122</v>
      </c>
    </row>
    <row r="15" spans="1:10" ht="14.25" customHeight="1">
      <c r="A15" s="933"/>
      <c r="B15" s="931" t="s">
        <v>928</v>
      </c>
      <c r="C15" s="931"/>
      <c r="D15" s="931"/>
      <c r="E15" s="932"/>
    </row>
    <row r="17" spans="1:10" ht="15.75">
      <c r="A17" s="65" t="s">
        <v>121</v>
      </c>
      <c r="B17" s="67"/>
      <c r="C17" s="67"/>
      <c r="E17" s="566" t="s">
        <v>120</v>
      </c>
    </row>
    <row r="18" spans="1:10" ht="68.25" customHeight="1">
      <c r="A18" s="925" t="s">
        <v>119</v>
      </c>
      <c r="B18" s="925"/>
      <c r="D18" s="928" t="s">
        <v>118</v>
      </c>
      <c r="E18" s="928"/>
    </row>
    <row r="19" spans="1:10" ht="12.75" customHeight="1">
      <c r="A19" s="71"/>
      <c r="B19" s="71"/>
      <c r="D19" s="70"/>
      <c r="E19" s="70"/>
    </row>
    <row r="20" spans="1:10" ht="13.5" thickBot="1"/>
    <row r="21" spans="1:10" s="68" customFormat="1" ht="27.75" customHeight="1" thickBot="1">
      <c r="A21" s="913" t="s">
        <v>117</v>
      </c>
      <c r="B21" s="914"/>
      <c r="C21" s="69"/>
      <c r="D21" s="926" t="s">
        <v>116</v>
      </c>
      <c r="E21" s="927"/>
    </row>
    <row r="22" spans="1:10" ht="21.75" customHeight="1">
      <c r="A22" s="65" t="s">
        <v>115</v>
      </c>
      <c r="E22" s="566" t="s">
        <v>114</v>
      </c>
    </row>
    <row r="23" spans="1:10" ht="38.25" customHeight="1">
      <c r="A23" s="925" t="s">
        <v>113</v>
      </c>
      <c r="B23" s="925"/>
      <c r="D23" s="928" t="s">
        <v>112</v>
      </c>
      <c r="E23" s="928"/>
    </row>
    <row r="24" spans="1:10" ht="15.75">
      <c r="A24" s="925" t="s">
        <v>105</v>
      </c>
      <c r="B24" s="925"/>
      <c r="D24" s="928" t="s">
        <v>111</v>
      </c>
      <c r="E24" s="928"/>
    </row>
    <row r="25" spans="1:10" ht="14.25" customHeight="1">
      <c r="A25" s="933" t="s">
        <v>103</v>
      </c>
      <c r="B25" s="930" t="s">
        <v>102</v>
      </c>
      <c r="C25" s="930"/>
      <c r="D25" s="930"/>
      <c r="E25" s="932" t="s">
        <v>101</v>
      </c>
      <c r="F25" s="66"/>
      <c r="J25" s="65"/>
    </row>
    <row r="26" spans="1:10" ht="14.25" customHeight="1">
      <c r="A26" s="933"/>
      <c r="B26" s="931" t="s">
        <v>110</v>
      </c>
      <c r="C26" s="931"/>
      <c r="D26" s="931"/>
      <c r="E26" s="932"/>
      <c r="F26" s="66"/>
      <c r="J26" s="65"/>
    </row>
    <row r="28" spans="1:10" ht="15.75">
      <c r="A28" s="65" t="s">
        <v>109</v>
      </c>
      <c r="B28" s="67"/>
      <c r="C28" s="67"/>
      <c r="E28" s="566" t="s">
        <v>108</v>
      </c>
    </row>
    <row r="29" spans="1:10" ht="43.5" customHeight="1">
      <c r="A29" s="925" t="s">
        <v>107</v>
      </c>
      <c r="B29" s="925"/>
      <c r="D29" s="928" t="s">
        <v>106</v>
      </c>
      <c r="E29" s="928"/>
    </row>
    <row r="30" spans="1:10" ht="18.75" customHeight="1">
      <c r="A30" s="925" t="s">
        <v>105</v>
      </c>
      <c r="B30" s="925"/>
      <c r="D30" s="928" t="s">
        <v>104</v>
      </c>
      <c r="E30" s="928"/>
    </row>
    <row r="31" spans="1:10" ht="14.25" customHeight="1">
      <c r="A31" s="933" t="s">
        <v>103</v>
      </c>
      <c r="B31" s="930" t="s">
        <v>102</v>
      </c>
      <c r="C31" s="930"/>
      <c r="D31" s="930"/>
      <c r="E31" s="932" t="s">
        <v>101</v>
      </c>
      <c r="F31" s="66"/>
      <c r="J31" s="65"/>
    </row>
    <row r="32" spans="1:10" ht="14.25" customHeight="1">
      <c r="A32" s="933"/>
      <c r="B32" s="931" t="s">
        <v>928</v>
      </c>
      <c r="C32" s="931"/>
      <c r="D32" s="931"/>
      <c r="E32" s="932"/>
      <c r="F32" s="66"/>
      <c r="J32" s="65"/>
    </row>
  </sheetData>
  <mergeCells count="40">
    <mergeCell ref="A24:B24"/>
    <mergeCell ref="D23:E23"/>
    <mergeCell ref="D24:E24"/>
    <mergeCell ref="D21:E21"/>
    <mergeCell ref="A18:B18"/>
    <mergeCell ref="D18:E18"/>
    <mergeCell ref="A21:B21"/>
    <mergeCell ref="A23:B23"/>
    <mergeCell ref="A31:A32"/>
    <mergeCell ref="B31:D31"/>
    <mergeCell ref="E31:E32"/>
    <mergeCell ref="B32:D32"/>
    <mergeCell ref="A25:A26"/>
    <mergeCell ref="B25:D25"/>
    <mergeCell ref="E25:E26"/>
    <mergeCell ref="B26:D26"/>
    <mergeCell ref="A29:B29"/>
    <mergeCell ref="A30:B30"/>
    <mergeCell ref="D29:E29"/>
    <mergeCell ref="D30:E30"/>
    <mergeCell ref="A14:A15"/>
    <mergeCell ref="B14:D14"/>
    <mergeCell ref="B15:D15"/>
    <mergeCell ref="A10:B10"/>
    <mergeCell ref="A13:B13"/>
    <mergeCell ref="D13:E13"/>
    <mergeCell ref="E14:E15"/>
    <mergeCell ref="B6:D6"/>
    <mergeCell ref="B7:D7"/>
    <mergeCell ref="A8:B8"/>
    <mergeCell ref="A9:B9"/>
    <mergeCell ref="E6:E7"/>
    <mergeCell ref="A6:A7"/>
    <mergeCell ref="A2:B2"/>
    <mergeCell ref="A1:B1"/>
    <mergeCell ref="A4:B4"/>
    <mergeCell ref="A5:B5"/>
    <mergeCell ref="D2:E2"/>
    <mergeCell ref="D5:E5"/>
    <mergeCell ref="D4:E4"/>
  </mergeCells>
  <pageMargins left="0.74803149606299213" right="0.74803149606299213" top="0.98425196850393704" bottom="0.98425196850393704" header="0.51181102362204722" footer="0.51181102362204722"/>
  <pageSetup paperSize="9" scale="97"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rightToLeft="1" view="pageBreakPreview" zoomScaleNormal="100" zoomScaleSheetLayoutView="100" workbookViewId="0">
      <selection activeCell="A3" sqref="A3:I3"/>
    </sheetView>
  </sheetViews>
  <sheetFormatPr defaultColWidth="9.140625" defaultRowHeight="12.75"/>
  <cols>
    <col min="1" max="1" width="18" style="1" customWidth="1"/>
    <col min="2" max="5" width="14.28515625" style="1" customWidth="1"/>
    <col min="6" max="6" width="13" style="1" customWidth="1"/>
    <col min="7" max="7" width="14.28515625" style="1" customWidth="1"/>
    <col min="8" max="8" width="13.5703125" style="1" customWidth="1"/>
    <col min="9" max="9" width="20.28515625" style="1" customWidth="1"/>
    <col min="10" max="16384" width="9.140625" style="1"/>
  </cols>
  <sheetData>
    <row r="1" spans="1:9" ht="24" customHeight="1">
      <c r="A1" s="974" t="s">
        <v>551</v>
      </c>
      <c r="B1" s="974"/>
      <c r="C1" s="974"/>
      <c r="D1" s="974"/>
      <c r="E1" s="974"/>
      <c r="F1" s="974"/>
      <c r="G1" s="974"/>
      <c r="H1" s="974"/>
      <c r="I1" s="974"/>
    </row>
    <row r="2" spans="1:9" ht="15.75" customHeight="1">
      <c r="A2" s="983" t="s">
        <v>550</v>
      </c>
      <c r="B2" s="983"/>
      <c r="C2" s="983"/>
      <c r="D2" s="983"/>
      <c r="E2" s="983"/>
      <c r="F2" s="983"/>
      <c r="G2" s="983"/>
      <c r="H2" s="983"/>
      <c r="I2" s="983"/>
    </row>
    <row r="3" spans="1:9" ht="15.75" customHeight="1">
      <c r="A3" s="983">
        <v>2015</v>
      </c>
      <c r="B3" s="983"/>
      <c r="C3" s="983"/>
      <c r="D3" s="983"/>
      <c r="E3" s="983"/>
      <c r="F3" s="983"/>
      <c r="G3" s="983"/>
      <c r="H3" s="983"/>
      <c r="I3" s="983"/>
    </row>
    <row r="4" spans="1:9" ht="18.75" customHeight="1">
      <c r="A4" s="983" t="s">
        <v>1</v>
      </c>
      <c r="B4" s="983"/>
      <c r="C4" s="983"/>
      <c r="D4" s="983"/>
      <c r="E4" s="983"/>
      <c r="F4" s="983"/>
      <c r="G4" s="983"/>
      <c r="H4" s="983"/>
      <c r="I4" s="983"/>
    </row>
    <row r="5" spans="1:9" ht="18.75" customHeight="1">
      <c r="A5" s="647"/>
      <c r="B5" s="647"/>
      <c r="C5" s="647"/>
      <c r="D5" s="647"/>
      <c r="E5" s="647"/>
      <c r="F5" s="691"/>
      <c r="G5" s="647"/>
      <c r="H5" s="647"/>
      <c r="I5" s="647"/>
    </row>
    <row r="6" spans="1:9" s="93" customFormat="1" ht="16.5">
      <c r="A6" s="636" t="s">
        <v>875</v>
      </c>
      <c r="B6" s="637"/>
      <c r="C6" s="638"/>
      <c r="D6" s="638"/>
      <c r="E6" s="638"/>
      <c r="F6" s="638"/>
      <c r="G6" s="643"/>
      <c r="H6" s="643"/>
      <c r="I6" s="643" t="s">
        <v>876</v>
      </c>
    </row>
    <row r="7" spans="1:9" ht="27.75" customHeight="1" thickBot="1">
      <c r="A7" s="937" t="s">
        <v>539</v>
      </c>
      <c r="B7" s="1026" t="s">
        <v>508</v>
      </c>
      <c r="C7" s="1026"/>
      <c r="D7" s="1026"/>
      <c r="E7" s="1026"/>
      <c r="F7" s="1026"/>
      <c r="G7" s="1026"/>
      <c r="H7" s="980" t="s">
        <v>538</v>
      </c>
      <c r="I7" s="1028" t="s">
        <v>537</v>
      </c>
    </row>
    <row r="8" spans="1:9" ht="57" customHeight="1">
      <c r="A8" s="979"/>
      <c r="B8" s="621" t="s">
        <v>951</v>
      </c>
      <c r="C8" s="621" t="s">
        <v>952</v>
      </c>
      <c r="D8" s="621" t="s">
        <v>953</v>
      </c>
      <c r="E8" s="621" t="s">
        <v>954</v>
      </c>
      <c r="F8" s="690" t="s">
        <v>293</v>
      </c>
      <c r="G8" s="576" t="s">
        <v>241</v>
      </c>
      <c r="H8" s="981"/>
      <c r="I8" s="1030"/>
    </row>
    <row r="9" spans="1:9" ht="27" customHeight="1" thickBot="1">
      <c r="A9" s="384" t="s">
        <v>536</v>
      </c>
      <c r="B9" s="366">
        <v>196</v>
      </c>
      <c r="C9" s="97">
        <v>25</v>
      </c>
      <c r="D9" s="97">
        <v>74</v>
      </c>
      <c r="E9" s="97">
        <v>1</v>
      </c>
      <c r="F9" s="367">
        <v>0</v>
      </c>
      <c r="G9" s="191">
        <f>SUM(B9:F9)</f>
        <v>296</v>
      </c>
      <c r="H9" s="387">
        <f t="shared" ref="H9:H20" si="0">G9/$G$21%</f>
        <v>22.647283856159142</v>
      </c>
      <c r="I9" s="91" t="s">
        <v>535</v>
      </c>
    </row>
    <row r="10" spans="1:9" ht="16.5" customHeight="1" thickBot="1">
      <c r="A10" s="385">
        <v>-1</v>
      </c>
      <c r="B10" s="366">
        <v>6</v>
      </c>
      <c r="C10" s="97">
        <v>118</v>
      </c>
      <c r="D10" s="97">
        <v>12</v>
      </c>
      <c r="E10" s="97">
        <v>5</v>
      </c>
      <c r="F10" s="367">
        <v>0</v>
      </c>
      <c r="G10" s="191">
        <f t="shared" ref="G10:G20" si="1">SUM(B10:F10)</f>
        <v>141</v>
      </c>
      <c r="H10" s="388">
        <f>G10/$G$21%</f>
        <v>10.788064269319051</v>
      </c>
      <c r="I10" s="79">
        <v>-1</v>
      </c>
    </row>
    <row r="11" spans="1:9" ht="16.5" customHeight="1" thickBot="1">
      <c r="A11" s="386">
        <v>1</v>
      </c>
      <c r="B11" s="366">
        <v>8</v>
      </c>
      <c r="C11" s="97">
        <v>119</v>
      </c>
      <c r="D11" s="97">
        <v>17</v>
      </c>
      <c r="E11" s="97">
        <v>6</v>
      </c>
      <c r="F11" s="367">
        <v>0</v>
      </c>
      <c r="G11" s="191">
        <f t="shared" si="1"/>
        <v>150</v>
      </c>
      <c r="H11" s="389">
        <f t="shared" si="0"/>
        <v>11.476664116296863</v>
      </c>
      <c r="I11" s="77">
        <v>1</v>
      </c>
    </row>
    <row r="12" spans="1:9" ht="16.5" customHeight="1" thickBot="1">
      <c r="A12" s="385">
        <v>2</v>
      </c>
      <c r="B12" s="366">
        <v>12</v>
      </c>
      <c r="C12" s="97">
        <v>85</v>
      </c>
      <c r="D12" s="97">
        <v>14</v>
      </c>
      <c r="E12" s="97">
        <v>3</v>
      </c>
      <c r="F12" s="367">
        <v>0</v>
      </c>
      <c r="G12" s="191">
        <f t="shared" si="1"/>
        <v>114</v>
      </c>
      <c r="H12" s="388">
        <f t="shared" si="0"/>
        <v>8.7222647283856158</v>
      </c>
      <c r="I12" s="79">
        <v>2</v>
      </c>
    </row>
    <row r="13" spans="1:9" ht="16.5" customHeight="1" thickBot="1">
      <c r="A13" s="386">
        <v>3</v>
      </c>
      <c r="B13" s="366">
        <v>11</v>
      </c>
      <c r="C13" s="97">
        <v>57</v>
      </c>
      <c r="D13" s="97">
        <v>11</v>
      </c>
      <c r="E13" s="97">
        <v>2</v>
      </c>
      <c r="F13" s="367">
        <v>0</v>
      </c>
      <c r="G13" s="191">
        <f t="shared" si="1"/>
        <v>81</v>
      </c>
      <c r="H13" s="389">
        <f t="shared" si="0"/>
        <v>6.1973986228003062</v>
      </c>
      <c r="I13" s="77">
        <v>3</v>
      </c>
    </row>
    <row r="14" spans="1:9" ht="16.5" customHeight="1" thickBot="1">
      <c r="A14" s="385">
        <v>4</v>
      </c>
      <c r="B14" s="366">
        <v>5</v>
      </c>
      <c r="C14" s="97">
        <v>49</v>
      </c>
      <c r="D14" s="97">
        <v>7</v>
      </c>
      <c r="E14" s="97">
        <v>4</v>
      </c>
      <c r="F14" s="367">
        <v>0</v>
      </c>
      <c r="G14" s="191">
        <f t="shared" si="1"/>
        <v>65</v>
      </c>
      <c r="H14" s="388">
        <f t="shared" si="0"/>
        <v>4.973221117061974</v>
      </c>
      <c r="I14" s="79">
        <v>4</v>
      </c>
    </row>
    <row r="15" spans="1:9" ht="16.5" customHeight="1" thickBot="1">
      <c r="A15" s="386" t="s">
        <v>534</v>
      </c>
      <c r="B15" s="366">
        <v>19</v>
      </c>
      <c r="C15" s="97">
        <v>138</v>
      </c>
      <c r="D15" s="97">
        <v>29</v>
      </c>
      <c r="E15" s="97">
        <v>17</v>
      </c>
      <c r="F15" s="367">
        <v>0</v>
      </c>
      <c r="G15" s="191">
        <f t="shared" si="1"/>
        <v>203</v>
      </c>
      <c r="H15" s="389">
        <f t="shared" si="0"/>
        <v>15.531752104055087</v>
      </c>
      <c r="I15" s="77" t="s">
        <v>533</v>
      </c>
    </row>
    <row r="16" spans="1:9" ht="16.5" customHeight="1" thickBot="1">
      <c r="A16" s="385" t="s">
        <v>532</v>
      </c>
      <c r="B16" s="366">
        <v>10</v>
      </c>
      <c r="C16" s="97">
        <v>75</v>
      </c>
      <c r="D16" s="97">
        <v>11</v>
      </c>
      <c r="E16" s="97">
        <v>10</v>
      </c>
      <c r="F16" s="367">
        <v>0</v>
      </c>
      <c r="G16" s="191">
        <f t="shared" si="1"/>
        <v>106</v>
      </c>
      <c r="H16" s="388">
        <f t="shared" si="0"/>
        <v>8.1101759755164498</v>
      </c>
      <c r="I16" s="79" t="s">
        <v>531</v>
      </c>
    </row>
    <row r="17" spans="1:9" ht="16.5" customHeight="1" thickBot="1">
      <c r="A17" s="386" t="s">
        <v>530</v>
      </c>
      <c r="B17" s="366">
        <v>9</v>
      </c>
      <c r="C17" s="97">
        <v>36</v>
      </c>
      <c r="D17" s="97">
        <v>9</v>
      </c>
      <c r="E17" s="97">
        <v>5</v>
      </c>
      <c r="F17" s="367">
        <v>0</v>
      </c>
      <c r="G17" s="191">
        <f t="shared" si="1"/>
        <v>59</v>
      </c>
      <c r="H17" s="389">
        <f t="shared" si="0"/>
        <v>4.5141545524100994</v>
      </c>
      <c r="I17" s="77" t="s">
        <v>276</v>
      </c>
    </row>
    <row r="18" spans="1:9" ht="16.5" customHeight="1" thickBot="1">
      <c r="A18" s="385" t="s">
        <v>311</v>
      </c>
      <c r="B18" s="366">
        <v>4</v>
      </c>
      <c r="C18" s="97">
        <v>11</v>
      </c>
      <c r="D18" s="97">
        <v>6</v>
      </c>
      <c r="E18" s="97">
        <v>3</v>
      </c>
      <c r="F18" s="367">
        <v>0</v>
      </c>
      <c r="G18" s="191">
        <f t="shared" si="1"/>
        <v>24</v>
      </c>
      <c r="H18" s="388">
        <f t="shared" si="0"/>
        <v>1.836266258607498</v>
      </c>
      <c r="I18" s="79" t="s">
        <v>269</v>
      </c>
    </row>
    <row r="19" spans="1:9" ht="16.5" customHeight="1" thickBot="1">
      <c r="A19" s="386" t="s">
        <v>529</v>
      </c>
      <c r="B19" s="366">
        <v>7</v>
      </c>
      <c r="C19" s="97">
        <v>35</v>
      </c>
      <c r="D19" s="97">
        <v>2</v>
      </c>
      <c r="E19" s="97">
        <v>2</v>
      </c>
      <c r="F19" s="367">
        <v>0</v>
      </c>
      <c r="G19" s="191">
        <f t="shared" si="1"/>
        <v>46</v>
      </c>
      <c r="H19" s="389">
        <f t="shared" si="0"/>
        <v>3.5195103289977046</v>
      </c>
      <c r="I19" s="77" t="s">
        <v>529</v>
      </c>
    </row>
    <row r="20" spans="1:9" ht="16.5" customHeight="1" thickBot="1">
      <c r="A20" s="390" t="s">
        <v>19</v>
      </c>
      <c r="B20" s="368">
        <v>2</v>
      </c>
      <c r="C20" s="369">
        <v>19</v>
      </c>
      <c r="D20" s="369">
        <v>1</v>
      </c>
      <c r="E20" s="369">
        <v>0</v>
      </c>
      <c r="F20" s="370">
        <v>0</v>
      </c>
      <c r="G20" s="191">
        <f t="shared" si="1"/>
        <v>22</v>
      </c>
      <c r="H20" s="391">
        <f t="shared" si="0"/>
        <v>1.6832440703902065</v>
      </c>
      <c r="I20" s="146" t="s">
        <v>20</v>
      </c>
    </row>
    <row r="21" spans="1:9" ht="20.100000000000001" customHeight="1" thickBot="1">
      <c r="A21" s="92" t="s">
        <v>21</v>
      </c>
      <c r="B21" s="395">
        <f t="shared" ref="B21" si="2">SUM(B9:B20)</f>
        <v>289</v>
      </c>
      <c r="C21" s="395">
        <f t="shared" ref="C21:G21" si="3">SUM(C9:C20)</f>
        <v>767</v>
      </c>
      <c r="D21" s="395">
        <f t="shared" si="3"/>
        <v>193</v>
      </c>
      <c r="E21" s="395">
        <f t="shared" si="3"/>
        <v>58</v>
      </c>
      <c r="F21" s="395">
        <f t="shared" si="3"/>
        <v>0</v>
      </c>
      <c r="G21" s="395">
        <f t="shared" si="3"/>
        <v>1307</v>
      </c>
      <c r="H21" s="393">
        <f t="shared" ref="H21" si="4">SUM(H9:H20)</f>
        <v>100.00000000000001</v>
      </c>
      <c r="I21" s="91" t="s">
        <v>176</v>
      </c>
    </row>
    <row r="22" spans="1:9" ht="25.5" customHeight="1">
      <c r="A22" s="379" t="s">
        <v>528</v>
      </c>
      <c r="B22" s="394">
        <f>B21/$G$21%</f>
        <v>22.111706197398622</v>
      </c>
      <c r="C22" s="394">
        <f t="shared" ref="C22:G22" si="5">C21/$G$21%</f>
        <v>58.684009181331291</v>
      </c>
      <c r="D22" s="394">
        <f t="shared" si="5"/>
        <v>14.76664116296863</v>
      </c>
      <c r="E22" s="394">
        <f t="shared" si="5"/>
        <v>4.4376434583014532</v>
      </c>
      <c r="F22" s="394">
        <f t="shared" si="5"/>
        <v>0</v>
      </c>
      <c r="G22" s="394">
        <f t="shared" si="5"/>
        <v>100</v>
      </c>
      <c r="H22" s="394"/>
      <c r="I22" s="381" t="s">
        <v>527</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rightToLeft="1" view="pageBreakPreview" zoomScaleNormal="100" zoomScaleSheetLayoutView="100" workbookViewId="0">
      <selection activeCell="A3" sqref="A3:O3"/>
    </sheetView>
  </sheetViews>
  <sheetFormatPr defaultColWidth="9.140625" defaultRowHeight="12.75"/>
  <cols>
    <col min="1" max="1" width="20" style="1" customWidth="1"/>
    <col min="2" max="2" width="13" style="1" customWidth="1"/>
    <col min="3" max="12" width="7.140625" style="1" customWidth="1"/>
    <col min="13" max="13" width="11.140625" style="1" customWidth="1"/>
    <col min="14" max="14" width="9.85546875" style="1" customWidth="1"/>
    <col min="15" max="15" width="18.85546875" style="1" customWidth="1"/>
    <col min="16" max="16384" width="9.140625" style="1"/>
  </cols>
  <sheetData>
    <row r="1" spans="1:15" ht="24" customHeight="1">
      <c r="A1" s="974" t="s">
        <v>561</v>
      </c>
      <c r="B1" s="974"/>
      <c r="C1" s="974"/>
      <c r="D1" s="974"/>
      <c r="E1" s="974"/>
      <c r="F1" s="974"/>
      <c r="G1" s="974"/>
      <c r="H1" s="974"/>
      <c r="I1" s="974"/>
      <c r="J1" s="974"/>
      <c r="K1" s="974"/>
      <c r="L1" s="974"/>
      <c r="M1" s="974"/>
      <c r="N1" s="974"/>
      <c r="O1" s="974"/>
    </row>
    <row r="2" spans="1:15" ht="15.75" customHeight="1">
      <c r="A2" s="983" t="s">
        <v>560</v>
      </c>
      <c r="B2" s="983"/>
      <c r="C2" s="983"/>
      <c r="D2" s="983"/>
      <c r="E2" s="983"/>
      <c r="F2" s="983"/>
      <c r="G2" s="983"/>
      <c r="H2" s="983"/>
      <c r="I2" s="983"/>
      <c r="J2" s="983"/>
      <c r="K2" s="983"/>
      <c r="L2" s="983"/>
      <c r="M2" s="983"/>
      <c r="N2" s="983"/>
      <c r="O2" s="983"/>
    </row>
    <row r="3" spans="1:15" ht="15.75" customHeight="1">
      <c r="A3" s="983">
        <v>2015</v>
      </c>
      <c r="B3" s="983"/>
      <c r="C3" s="983"/>
      <c r="D3" s="983"/>
      <c r="E3" s="983"/>
      <c r="F3" s="983"/>
      <c r="G3" s="983"/>
      <c r="H3" s="983"/>
      <c r="I3" s="983"/>
      <c r="J3" s="983"/>
      <c r="K3" s="983"/>
      <c r="L3" s="983"/>
      <c r="M3" s="983"/>
      <c r="N3" s="983"/>
      <c r="O3" s="983"/>
    </row>
    <row r="4" spans="1:15" ht="18.75" customHeight="1">
      <c r="A4" s="983" t="s">
        <v>173</v>
      </c>
      <c r="B4" s="983"/>
      <c r="C4" s="983"/>
      <c r="D4" s="983"/>
      <c r="E4" s="983"/>
      <c r="F4" s="983"/>
      <c r="G4" s="983"/>
      <c r="H4" s="983"/>
      <c r="I4" s="983"/>
      <c r="J4" s="983"/>
      <c r="K4" s="983"/>
      <c r="L4" s="983"/>
      <c r="M4" s="983"/>
      <c r="N4" s="983"/>
      <c r="O4" s="983"/>
    </row>
    <row r="5" spans="1:15" ht="18.75" customHeight="1">
      <c r="A5" s="647"/>
      <c r="B5" s="647"/>
      <c r="C5" s="647"/>
      <c r="D5" s="647"/>
      <c r="E5" s="647"/>
      <c r="F5" s="647"/>
      <c r="G5" s="647"/>
      <c r="H5" s="647"/>
      <c r="I5" s="647"/>
      <c r="J5" s="647"/>
      <c r="K5" s="647"/>
      <c r="L5" s="647"/>
      <c r="M5" s="647"/>
      <c r="N5" s="647"/>
      <c r="O5" s="647"/>
    </row>
    <row r="6" spans="1:15" s="93" customFormat="1" ht="16.5">
      <c r="A6" s="636" t="s">
        <v>850</v>
      </c>
      <c r="B6" s="637"/>
      <c r="C6" s="637"/>
      <c r="D6" s="637"/>
      <c r="E6" s="637"/>
      <c r="F6" s="637"/>
      <c r="G6" s="637"/>
      <c r="H6" s="637"/>
      <c r="I6" s="637"/>
      <c r="J6" s="637"/>
      <c r="K6" s="637"/>
      <c r="L6" s="637"/>
      <c r="M6" s="638"/>
      <c r="N6" s="643"/>
      <c r="O6" s="643" t="s">
        <v>851</v>
      </c>
    </row>
    <row r="7" spans="1:15" ht="27.75" customHeight="1" thickBot="1">
      <c r="A7" s="970" t="s">
        <v>519</v>
      </c>
      <c r="B7" s="1052" t="s">
        <v>971</v>
      </c>
      <c r="C7" s="1053"/>
      <c r="D7" s="1053"/>
      <c r="E7" s="1053"/>
      <c r="F7" s="1053"/>
      <c r="G7" s="1053"/>
      <c r="H7" s="1053"/>
      <c r="I7" s="1053"/>
      <c r="J7" s="1053"/>
      <c r="K7" s="1053"/>
      <c r="L7" s="1053"/>
      <c r="M7" s="1053"/>
      <c r="N7" s="1053"/>
      <c r="O7" s="1054" t="s">
        <v>559</v>
      </c>
    </row>
    <row r="8" spans="1:15" ht="42.75" customHeight="1">
      <c r="A8" s="977"/>
      <c r="B8" s="582" t="s">
        <v>558</v>
      </c>
      <c r="C8" s="590">
        <v>-1</v>
      </c>
      <c r="D8" s="590">
        <v>1</v>
      </c>
      <c r="E8" s="590">
        <v>2</v>
      </c>
      <c r="F8" s="590">
        <v>3</v>
      </c>
      <c r="G8" s="590">
        <v>4</v>
      </c>
      <c r="H8" s="590" t="s">
        <v>534</v>
      </c>
      <c r="I8" s="590" t="s">
        <v>532</v>
      </c>
      <c r="J8" s="590" t="s">
        <v>530</v>
      </c>
      <c r="K8" s="590" t="s">
        <v>311</v>
      </c>
      <c r="L8" s="590" t="s">
        <v>529</v>
      </c>
      <c r="M8" s="591" t="s">
        <v>8</v>
      </c>
      <c r="N8" s="591" t="s">
        <v>256</v>
      </c>
      <c r="O8" s="1055"/>
    </row>
    <row r="9" spans="1:15" ht="16.5" thickBot="1">
      <c r="A9" s="85" t="s">
        <v>751</v>
      </c>
      <c r="B9" s="84">
        <v>1</v>
      </c>
      <c r="C9" s="84">
        <v>0</v>
      </c>
      <c r="D9" s="84">
        <v>0</v>
      </c>
      <c r="E9" s="84">
        <v>0</v>
      </c>
      <c r="F9" s="84">
        <v>0</v>
      </c>
      <c r="G9" s="84">
        <v>0</v>
      </c>
      <c r="H9" s="84">
        <v>0</v>
      </c>
      <c r="I9" s="84">
        <v>0</v>
      </c>
      <c r="J9" s="84">
        <v>0</v>
      </c>
      <c r="K9" s="84">
        <v>0</v>
      </c>
      <c r="L9" s="84">
        <v>0</v>
      </c>
      <c r="M9" s="84">
        <v>0</v>
      </c>
      <c r="N9" s="118">
        <f>SUM(B9:M9)</f>
        <v>1</v>
      </c>
      <c r="O9" s="82" t="s">
        <v>751</v>
      </c>
    </row>
    <row r="10" spans="1:15" ht="16.5" thickBot="1">
      <c r="A10" s="192" t="s">
        <v>269</v>
      </c>
      <c r="B10" s="396">
        <v>47</v>
      </c>
      <c r="C10" s="396">
        <v>8</v>
      </c>
      <c r="D10" s="396">
        <v>27</v>
      </c>
      <c r="E10" s="396">
        <v>17</v>
      </c>
      <c r="F10" s="396">
        <v>11</v>
      </c>
      <c r="G10" s="396">
        <v>2</v>
      </c>
      <c r="H10" s="396">
        <v>0</v>
      </c>
      <c r="I10" s="396">
        <v>0</v>
      </c>
      <c r="J10" s="396">
        <v>0</v>
      </c>
      <c r="K10" s="396">
        <v>0</v>
      </c>
      <c r="L10" s="396">
        <v>0</v>
      </c>
      <c r="M10" s="396">
        <v>1</v>
      </c>
      <c r="N10" s="118">
        <f t="shared" ref="N10:N22" si="0">SUM(B10:M10)</f>
        <v>113</v>
      </c>
      <c r="O10" s="193" t="s">
        <v>269</v>
      </c>
    </row>
    <row r="11" spans="1:15" ht="16.5" thickBot="1">
      <c r="A11" s="192" t="s">
        <v>268</v>
      </c>
      <c r="B11" s="396">
        <v>77</v>
      </c>
      <c r="C11" s="396">
        <v>20</v>
      </c>
      <c r="D11" s="396">
        <v>34</v>
      </c>
      <c r="E11" s="396">
        <v>30</v>
      </c>
      <c r="F11" s="396">
        <v>20</v>
      </c>
      <c r="G11" s="396">
        <v>18</v>
      </c>
      <c r="H11" s="396">
        <v>26</v>
      </c>
      <c r="I11" s="396">
        <v>1</v>
      </c>
      <c r="J11" s="396">
        <v>0</v>
      </c>
      <c r="K11" s="396">
        <v>0</v>
      </c>
      <c r="L11" s="396">
        <v>0</v>
      </c>
      <c r="M11" s="396">
        <v>0</v>
      </c>
      <c r="N11" s="118">
        <f t="shared" si="0"/>
        <v>226</v>
      </c>
      <c r="O11" s="193" t="s">
        <v>268</v>
      </c>
    </row>
    <row r="12" spans="1:15" ht="16.5" thickBot="1">
      <c r="A12" s="192" t="s">
        <v>267</v>
      </c>
      <c r="B12" s="396">
        <v>37</v>
      </c>
      <c r="C12" s="396">
        <v>16</v>
      </c>
      <c r="D12" s="396">
        <v>15</v>
      </c>
      <c r="E12" s="396">
        <v>9</v>
      </c>
      <c r="F12" s="396">
        <v>8</v>
      </c>
      <c r="G12" s="396">
        <v>11</v>
      </c>
      <c r="H12" s="396">
        <v>47</v>
      </c>
      <c r="I12" s="396">
        <v>18</v>
      </c>
      <c r="J12" s="396">
        <v>0</v>
      </c>
      <c r="K12" s="396">
        <v>0</v>
      </c>
      <c r="L12" s="396">
        <v>0</v>
      </c>
      <c r="M12" s="396">
        <v>1</v>
      </c>
      <c r="N12" s="118">
        <f t="shared" si="0"/>
        <v>162</v>
      </c>
      <c r="O12" s="193" t="s">
        <v>267</v>
      </c>
    </row>
    <row r="13" spans="1:15" ht="16.5" thickBot="1">
      <c r="A13" s="192" t="s">
        <v>266</v>
      </c>
      <c r="B13" s="396">
        <v>17</v>
      </c>
      <c r="C13" s="396">
        <v>11</v>
      </c>
      <c r="D13" s="396">
        <v>7</v>
      </c>
      <c r="E13" s="396">
        <v>6</v>
      </c>
      <c r="F13" s="396">
        <v>2</v>
      </c>
      <c r="G13" s="396">
        <v>1</v>
      </c>
      <c r="H13" s="396">
        <v>21</v>
      </c>
      <c r="I13" s="396">
        <v>19</v>
      </c>
      <c r="J13" s="396">
        <v>6</v>
      </c>
      <c r="K13" s="396">
        <v>0</v>
      </c>
      <c r="L13" s="396">
        <v>0</v>
      </c>
      <c r="M13" s="396">
        <v>0</v>
      </c>
      <c r="N13" s="118">
        <f t="shared" si="0"/>
        <v>90</v>
      </c>
      <c r="O13" s="193" t="s">
        <v>266</v>
      </c>
    </row>
    <row r="14" spans="1:15" ht="16.5" thickBot="1">
      <c r="A14" s="192" t="s">
        <v>265</v>
      </c>
      <c r="B14" s="396">
        <v>10</v>
      </c>
      <c r="C14" s="396">
        <v>6</v>
      </c>
      <c r="D14" s="396">
        <v>5</v>
      </c>
      <c r="E14" s="396">
        <v>3</v>
      </c>
      <c r="F14" s="396">
        <v>1</v>
      </c>
      <c r="G14" s="396">
        <v>3</v>
      </c>
      <c r="H14" s="396">
        <v>4</v>
      </c>
      <c r="I14" s="396">
        <v>14</v>
      </c>
      <c r="J14" s="396">
        <v>10</v>
      </c>
      <c r="K14" s="396">
        <v>4</v>
      </c>
      <c r="L14" s="396">
        <v>0</v>
      </c>
      <c r="M14" s="396">
        <v>3</v>
      </c>
      <c r="N14" s="118">
        <f t="shared" si="0"/>
        <v>63</v>
      </c>
      <c r="O14" s="193" t="s">
        <v>265</v>
      </c>
    </row>
    <row r="15" spans="1:15" ht="16.5" thickBot="1">
      <c r="A15" s="192" t="s">
        <v>264</v>
      </c>
      <c r="B15" s="396">
        <v>6</v>
      </c>
      <c r="C15" s="396">
        <v>12</v>
      </c>
      <c r="D15" s="396">
        <v>5</v>
      </c>
      <c r="E15" s="396">
        <v>2</v>
      </c>
      <c r="F15" s="396">
        <v>0</v>
      </c>
      <c r="G15" s="396">
        <v>0</v>
      </c>
      <c r="H15" s="396">
        <v>6</v>
      </c>
      <c r="I15" s="396">
        <v>6</v>
      </c>
      <c r="J15" s="396">
        <v>6</v>
      </c>
      <c r="K15" s="396">
        <v>9</v>
      </c>
      <c r="L15" s="396">
        <v>3</v>
      </c>
      <c r="M15" s="396">
        <v>1</v>
      </c>
      <c r="N15" s="118">
        <f t="shared" si="0"/>
        <v>56</v>
      </c>
      <c r="O15" s="193" t="s">
        <v>264</v>
      </c>
    </row>
    <row r="16" spans="1:15" ht="16.5" thickBot="1">
      <c r="A16" s="192" t="s">
        <v>263</v>
      </c>
      <c r="B16" s="396">
        <v>3</v>
      </c>
      <c r="C16" s="396">
        <v>5</v>
      </c>
      <c r="D16" s="396">
        <v>5</v>
      </c>
      <c r="E16" s="396">
        <v>2</v>
      </c>
      <c r="F16" s="396">
        <v>0</v>
      </c>
      <c r="G16" s="396">
        <v>0</v>
      </c>
      <c r="H16" s="396">
        <v>5</v>
      </c>
      <c r="I16" s="396">
        <v>4</v>
      </c>
      <c r="J16" s="396">
        <v>4</v>
      </c>
      <c r="K16" s="396">
        <v>3</v>
      </c>
      <c r="L16" s="396">
        <v>2</v>
      </c>
      <c r="M16" s="396">
        <v>2</v>
      </c>
      <c r="N16" s="118">
        <f t="shared" si="0"/>
        <v>35</v>
      </c>
      <c r="O16" s="193" t="s">
        <v>263</v>
      </c>
    </row>
    <row r="17" spans="1:15" ht="16.5" thickBot="1">
      <c r="A17" s="192" t="s">
        <v>262</v>
      </c>
      <c r="B17" s="396">
        <v>0</v>
      </c>
      <c r="C17" s="396">
        <v>4</v>
      </c>
      <c r="D17" s="396">
        <v>1</v>
      </c>
      <c r="E17" s="396">
        <v>1</v>
      </c>
      <c r="F17" s="396">
        <v>0</v>
      </c>
      <c r="G17" s="396">
        <v>0</v>
      </c>
      <c r="H17" s="396">
        <v>3</v>
      </c>
      <c r="I17" s="396">
        <v>0</v>
      </c>
      <c r="J17" s="396">
        <v>0</v>
      </c>
      <c r="K17" s="396">
        <v>0</v>
      </c>
      <c r="L17" s="396">
        <v>13</v>
      </c>
      <c r="M17" s="396">
        <v>0</v>
      </c>
      <c r="N17" s="118">
        <f t="shared" si="0"/>
        <v>22</v>
      </c>
      <c r="O17" s="193" t="s">
        <v>262</v>
      </c>
    </row>
    <row r="18" spans="1:15" ht="16.5" thickBot="1">
      <c r="A18" s="192" t="s">
        <v>261</v>
      </c>
      <c r="B18" s="396">
        <v>0</v>
      </c>
      <c r="C18" s="396">
        <v>1</v>
      </c>
      <c r="D18" s="396">
        <v>0</v>
      </c>
      <c r="E18" s="396">
        <v>1</v>
      </c>
      <c r="F18" s="396">
        <v>0</v>
      </c>
      <c r="G18" s="396">
        <v>0</v>
      </c>
      <c r="H18" s="396">
        <v>2</v>
      </c>
      <c r="I18" s="396">
        <v>3</v>
      </c>
      <c r="J18" s="396">
        <v>1</v>
      </c>
      <c r="K18" s="396">
        <v>2</v>
      </c>
      <c r="L18" s="396">
        <v>8</v>
      </c>
      <c r="M18" s="396">
        <v>1</v>
      </c>
      <c r="N18" s="118">
        <f t="shared" si="0"/>
        <v>19</v>
      </c>
      <c r="O18" s="193" t="s">
        <v>261</v>
      </c>
    </row>
    <row r="19" spans="1:15" ht="16.5" thickBot="1">
      <c r="A19" s="192" t="s">
        <v>260</v>
      </c>
      <c r="B19" s="396">
        <v>0</v>
      </c>
      <c r="C19" s="396">
        <v>0</v>
      </c>
      <c r="D19" s="396">
        <v>1</v>
      </c>
      <c r="E19" s="396">
        <v>0</v>
      </c>
      <c r="F19" s="396">
        <v>0</v>
      </c>
      <c r="G19" s="396">
        <v>1</v>
      </c>
      <c r="H19" s="396">
        <v>1</v>
      </c>
      <c r="I19" s="396">
        <v>0</v>
      </c>
      <c r="J19" s="396">
        <v>1</v>
      </c>
      <c r="K19" s="396">
        <v>0</v>
      </c>
      <c r="L19" s="396">
        <v>5</v>
      </c>
      <c r="M19" s="396">
        <v>1</v>
      </c>
      <c r="N19" s="118">
        <f t="shared" si="0"/>
        <v>10</v>
      </c>
      <c r="O19" s="193" t="s">
        <v>260</v>
      </c>
    </row>
    <row r="20" spans="1:15" ht="16.5" thickBot="1">
      <c r="A20" s="192" t="s">
        <v>259</v>
      </c>
      <c r="B20" s="396">
        <v>0</v>
      </c>
      <c r="C20" s="396">
        <v>0</v>
      </c>
      <c r="D20" s="396">
        <v>0</v>
      </c>
      <c r="E20" s="396">
        <v>0</v>
      </c>
      <c r="F20" s="396">
        <v>0</v>
      </c>
      <c r="G20" s="396">
        <v>0</v>
      </c>
      <c r="H20" s="396">
        <v>2</v>
      </c>
      <c r="I20" s="396">
        <v>2</v>
      </c>
      <c r="J20" s="396">
        <v>0</v>
      </c>
      <c r="K20" s="396">
        <v>0</v>
      </c>
      <c r="L20" s="396">
        <v>4</v>
      </c>
      <c r="M20" s="396">
        <v>1</v>
      </c>
      <c r="N20" s="118">
        <f t="shared" si="0"/>
        <v>9</v>
      </c>
      <c r="O20" s="193" t="s">
        <v>259</v>
      </c>
    </row>
    <row r="21" spans="1:15" ht="16.5" thickBot="1">
      <c r="A21" s="192" t="s">
        <v>258</v>
      </c>
      <c r="B21" s="396">
        <v>0</v>
      </c>
      <c r="C21" s="396">
        <v>0</v>
      </c>
      <c r="D21" s="396">
        <v>0</v>
      </c>
      <c r="E21" s="396">
        <v>0</v>
      </c>
      <c r="F21" s="396">
        <v>0</v>
      </c>
      <c r="G21" s="396">
        <v>0</v>
      </c>
      <c r="H21" s="396">
        <v>0</v>
      </c>
      <c r="I21" s="396">
        <v>0</v>
      </c>
      <c r="J21" s="396">
        <v>0</v>
      </c>
      <c r="K21" s="396">
        <v>0</v>
      </c>
      <c r="L21" s="396">
        <v>1</v>
      </c>
      <c r="M21" s="396">
        <v>0</v>
      </c>
      <c r="N21" s="118">
        <f t="shared" si="0"/>
        <v>1</v>
      </c>
      <c r="O21" s="193" t="s">
        <v>258</v>
      </c>
    </row>
    <row r="22" spans="1:15" ht="16.5" thickBot="1">
      <c r="A22" s="194" t="s">
        <v>19</v>
      </c>
      <c r="B22" s="397">
        <v>0</v>
      </c>
      <c r="C22" s="397">
        <v>0</v>
      </c>
      <c r="D22" s="397">
        <v>0</v>
      </c>
      <c r="E22" s="397">
        <v>0</v>
      </c>
      <c r="F22" s="397">
        <v>0</v>
      </c>
      <c r="G22" s="397">
        <v>0</v>
      </c>
      <c r="H22" s="397">
        <v>0</v>
      </c>
      <c r="I22" s="397">
        <v>0</v>
      </c>
      <c r="J22" s="397">
        <v>0</v>
      </c>
      <c r="K22" s="397">
        <v>0</v>
      </c>
      <c r="L22" s="397">
        <v>0</v>
      </c>
      <c r="M22" s="397">
        <v>0</v>
      </c>
      <c r="N22" s="118">
        <f t="shared" si="0"/>
        <v>0</v>
      </c>
      <c r="O22" s="195" t="s">
        <v>20</v>
      </c>
    </row>
    <row r="23" spans="1:15" ht="21" customHeight="1">
      <c r="A23" s="171" t="s">
        <v>21</v>
      </c>
      <c r="B23" s="172">
        <f>SUM(B9:B22)</f>
        <v>198</v>
      </c>
      <c r="C23" s="172">
        <f t="shared" ref="C23:M23" si="1">SUM(C9:C22)</f>
        <v>83</v>
      </c>
      <c r="D23" s="172">
        <f t="shared" si="1"/>
        <v>100</v>
      </c>
      <c r="E23" s="172">
        <f t="shared" si="1"/>
        <v>71</v>
      </c>
      <c r="F23" s="172">
        <f>SUM(F9:F22)</f>
        <v>42</v>
      </c>
      <c r="G23" s="172">
        <f t="shared" si="1"/>
        <v>36</v>
      </c>
      <c r="H23" s="172">
        <f t="shared" si="1"/>
        <v>117</v>
      </c>
      <c r="I23" s="172">
        <f t="shared" si="1"/>
        <v>67</v>
      </c>
      <c r="J23" s="172">
        <f t="shared" si="1"/>
        <v>28</v>
      </c>
      <c r="K23" s="172">
        <f t="shared" si="1"/>
        <v>18</v>
      </c>
      <c r="L23" s="172">
        <f t="shared" si="1"/>
        <v>36</v>
      </c>
      <c r="M23" s="172">
        <f t="shared" si="1"/>
        <v>11</v>
      </c>
      <c r="N23" s="188">
        <f>SUM(N8:N22)</f>
        <v>807</v>
      </c>
      <c r="O23" s="173" t="s">
        <v>176</v>
      </c>
    </row>
    <row r="24" spans="1:15">
      <c r="A24" s="151" t="s">
        <v>557</v>
      </c>
      <c r="O24" s="134" t="s">
        <v>556</v>
      </c>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rightToLeft="1" view="pageBreakPreview" zoomScaleNormal="100" zoomScaleSheetLayoutView="100" workbookViewId="0">
      <selection activeCell="A3" sqref="A3:O3"/>
    </sheetView>
  </sheetViews>
  <sheetFormatPr defaultColWidth="9.140625" defaultRowHeight="12.75"/>
  <cols>
    <col min="1" max="1" width="20" style="1" customWidth="1"/>
    <col min="2" max="2" width="13" style="1" customWidth="1"/>
    <col min="3" max="12" width="7.140625" style="1" customWidth="1"/>
    <col min="13" max="13" width="11.140625" style="1" customWidth="1"/>
    <col min="14" max="14" width="9.85546875" style="1" customWidth="1"/>
    <col min="15" max="15" width="18.85546875" style="1" customWidth="1"/>
    <col min="16" max="16384" width="9.140625" style="1"/>
  </cols>
  <sheetData>
    <row r="1" spans="1:15" ht="24" customHeight="1">
      <c r="A1" s="974" t="s">
        <v>561</v>
      </c>
      <c r="B1" s="974"/>
      <c r="C1" s="974"/>
      <c r="D1" s="974"/>
      <c r="E1" s="974"/>
      <c r="F1" s="974"/>
      <c r="G1" s="974"/>
      <c r="H1" s="974"/>
      <c r="I1" s="974"/>
      <c r="J1" s="974"/>
      <c r="K1" s="974"/>
      <c r="L1" s="974"/>
      <c r="M1" s="974"/>
      <c r="N1" s="974"/>
      <c r="O1" s="974"/>
    </row>
    <row r="2" spans="1:15" ht="15.75" customHeight="1">
      <c r="A2" s="983" t="s">
        <v>560</v>
      </c>
      <c r="B2" s="983"/>
      <c r="C2" s="983"/>
      <c r="D2" s="983"/>
      <c r="E2" s="983"/>
      <c r="F2" s="983"/>
      <c r="G2" s="983"/>
      <c r="H2" s="983"/>
      <c r="I2" s="983"/>
      <c r="J2" s="983"/>
      <c r="K2" s="983"/>
      <c r="L2" s="983"/>
      <c r="M2" s="983"/>
      <c r="N2" s="983"/>
      <c r="O2" s="983"/>
    </row>
    <row r="3" spans="1:15" ht="15.75" customHeight="1">
      <c r="A3" s="983">
        <v>2015</v>
      </c>
      <c r="B3" s="983"/>
      <c r="C3" s="983"/>
      <c r="D3" s="983"/>
      <c r="E3" s="983"/>
      <c r="F3" s="983"/>
      <c r="G3" s="983"/>
      <c r="H3" s="983"/>
      <c r="I3" s="983"/>
      <c r="J3" s="983"/>
      <c r="K3" s="983"/>
      <c r="L3" s="983"/>
      <c r="M3" s="983"/>
      <c r="N3" s="983"/>
      <c r="O3" s="983"/>
    </row>
    <row r="4" spans="1:15" ht="18.75" customHeight="1">
      <c r="A4" s="983" t="s">
        <v>172</v>
      </c>
      <c r="B4" s="983"/>
      <c r="C4" s="983"/>
      <c r="D4" s="983"/>
      <c r="E4" s="983"/>
      <c r="F4" s="983"/>
      <c r="G4" s="983"/>
      <c r="H4" s="983"/>
      <c r="I4" s="983"/>
      <c r="J4" s="983"/>
      <c r="K4" s="983"/>
      <c r="L4" s="983"/>
      <c r="M4" s="983"/>
      <c r="N4" s="983"/>
      <c r="O4" s="983"/>
    </row>
    <row r="5" spans="1:15" ht="18.75" customHeight="1">
      <c r="A5" s="647"/>
      <c r="B5" s="647"/>
      <c r="C5" s="647"/>
      <c r="D5" s="647"/>
      <c r="E5" s="647"/>
      <c r="F5" s="647"/>
      <c r="G5" s="647"/>
      <c r="H5" s="647"/>
      <c r="I5" s="647"/>
      <c r="J5" s="647"/>
      <c r="K5" s="647"/>
      <c r="L5" s="647"/>
      <c r="M5" s="647"/>
      <c r="N5" s="647"/>
      <c r="O5" s="647"/>
    </row>
    <row r="6" spans="1:15" s="93" customFormat="1" ht="16.5">
      <c r="A6" s="636" t="s">
        <v>854</v>
      </c>
      <c r="B6" s="637"/>
      <c r="C6" s="637"/>
      <c r="D6" s="637"/>
      <c r="E6" s="637"/>
      <c r="F6" s="637"/>
      <c r="G6" s="637"/>
      <c r="H6" s="637"/>
      <c r="I6" s="637"/>
      <c r="J6" s="637"/>
      <c r="K6" s="637"/>
      <c r="L6" s="637"/>
      <c r="M6" s="638"/>
      <c r="N6" s="643"/>
      <c r="O6" s="643" t="s">
        <v>855</v>
      </c>
    </row>
    <row r="7" spans="1:15" ht="27.75" customHeight="1" thickBot="1">
      <c r="A7" s="970" t="s">
        <v>519</v>
      </c>
      <c r="B7" s="1052" t="s">
        <v>971</v>
      </c>
      <c r="C7" s="1053"/>
      <c r="D7" s="1053"/>
      <c r="E7" s="1053"/>
      <c r="F7" s="1053"/>
      <c r="G7" s="1053"/>
      <c r="H7" s="1053"/>
      <c r="I7" s="1053"/>
      <c r="J7" s="1053"/>
      <c r="K7" s="1053"/>
      <c r="L7" s="1053"/>
      <c r="M7" s="1053"/>
      <c r="N7" s="1053"/>
      <c r="O7" s="1054" t="s">
        <v>559</v>
      </c>
    </row>
    <row r="8" spans="1:15" ht="42.75" customHeight="1">
      <c r="A8" s="977"/>
      <c r="B8" s="582" t="s">
        <v>558</v>
      </c>
      <c r="C8" s="590">
        <v>-1</v>
      </c>
      <c r="D8" s="590">
        <v>1</v>
      </c>
      <c r="E8" s="590">
        <v>2</v>
      </c>
      <c r="F8" s="590">
        <v>3</v>
      </c>
      <c r="G8" s="590">
        <v>4</v>
      </c>
      <c r="H8" s="590" t="s">
        <v>534</v>
      </c>
      <c r="I8" s="590" t="s">
        <v>532</v>
      </c>
      <c r="J8" s="590" t="s">
        <v>530</v>
      </c>
      <c r="K8" s="590" t="s">
        <v>311</v>
      </c>
      <c r="L8" s="590" t="s">
        <v>529</v>
      </c>
      <c r="M8" s="591" t="s">
        <v>8</v>
      </c>
      <c r="N8" s="591" t="s">
        <v>256</v>
      </c>
      <c r="O8" s="1055"/>
    </row>
    <row r="9" spans="1:15" ht="16.5" thickBot="1">
      <c r="A9" s="85" t="s">
        <v>751</v>
      </c>
      <c r="B9" s="84">
        <v>0</v>
      </c>
      <c r="C9" s="84">
        <v>0</v>
      </c>
      <c r="D9" s="84">
        <v>0</v>
      </c>
      <c r="E9" s="84">
        <v>0</v>
      </c>
      <c r="F9" s="84">
        <v>0</v>
      </c>
      <c r="G9" s="84">
        <v>0</v>
      </c>
      <c r="H9" s="84">
        <v>0</v>
      </c>
      <c r="I9" s="84">
        <v>0</v>
      </c>
      <c r="J9" s="84">
        <v>0</v>
      </c>
      <c r="K9" s="84">
        <v>0</v>
      </c>
      <c r="L9" s="84">
        <v>0</v>
      </c>
      <c r="M9" s="84">
        <v>0</v>
      </c>
      <c r="N9" s="118">
        <f>SUM(B9:M9)</f>
        <v>0</v>
      </c>
      <c r="O9" s="82" t="s">
        <v>751</v>
      </c>
    </row>
    <row r="10" spans="1:15" ht="16.5" thickBot="1">
      <c r="A10" s="192" t="s">
        <v>269</v>
      </c>
      <c r="B10" s="396">
        <v>8</v>
      </c>
      <c r="C10" s="396">
        <v>5</v>
      </c>
      <c r="D10" s="396">
        <v>3</v>
      </c>
      <c r="E10" s="396">
        <v>3</v>
      </c>
      <c r="F10" s="396">
        <v>1</v>
      </c>
      <c r="G10" s="396">
        <v>0</v>
      </c>
      <c r="H10" s="396">
        <v>0</v>
      </c>
      <c r="I10" s="396">
        <v>0</v>
      </c>
      <c r="J10" s="396">
        <v>0</v>
      </c>
      <c r="K10" s="396">
        <v>0</v>
      </c>
      <c r="L10" s="396">
        <v>0</v>
      </c>
      <c r="M10" s="396">
        <v>0</v>
      </c>
      <c r="N10" s="118">
        <f t="shared" ref="N10:N22" si="0">SUM(B10:M10)</f>
        <v>20</v>
      </c>
      <c r="O10" s="193" t="s">
        <v>269</v>
      </c>
    </row>
    <row r="11" spans="1:15" ht="16.5" thickBot="1">
      <c r="A11" s="192" t="s">
        <v>268</v>
      </c>
      <c r="B11" s="396">
        <v>45</v>
      </c>
      <c r="C11" s="396">
        <v>11</v>
      </c>
      <c r="D11" s="396">
        <v>13</v>
      </c>
      <c r="E11" s="396">
        <v>12</v>
      </c>
      <c r="F11" s="396">
        <v>11</v>
      </c>
      <c r="G11" s="396">
        <v>7</v>
      </c>
      <c r="H11" s="396">
        <v>6</v>
      </c>
      <c r="I11" s="396">
        <v>0</v>
      </c>
      <c r="J11" s="396">
        <v>0</v>
      </c>
      <c r="K11" s="396">
        <v>0</v>
      </c>
      <c r="L11" s="396">
        <v>0</v>
      </c>
      <c r="M11" s="396">
        <v>0</v>
      </c>
      <c r="N11" s="118">
        <f t="shared" si="0"/>
        <v>105</v>
      </c>
      <c r="O11" s="193" t="s">
        <v>268</v>
      </c>
    </row>
    <row r="12" spans="1:15" ht="16.5" thickBot="1">
      <c r="A12" s="192" t="s">
        <v>267</v>
      </c>
      <c r="B12" s="396">
        <v>27</v>
      </c>
      <c r="C12" s="396">
        <v>13</v>
      </c>
      <c r="D12" s="396">
        <v>12</v>
      </c>
      <c r="E12" s="396">
        <v>7</v>
      </c>
      <c r="F12" s="396">
        <v>10</v>
      </c>
      <c r="G12" s="396">
        <v>7</v>
      </c>
      <c r="H12" s="396">
        <v>23</v>
      </c>
      <c r="I12" s="396">
        <v>6</v>
      </c>
      <c r="J12" s="396">
        <v>1</v>
      </c>
      <c r="K12" s="396">
        <v>0</v>
      </c>
      <c r="L12" s="396">
        <v>0</v>
      </c>
      <c r="M12" s="396">
        <v>1</v>
      </c>
      <c r="N12" s="118">
        <f t="shared" si="0"/>
        <v>107</v>
      </c>
      <c r="O12" s="193" t="s">
        <v>267</v>
      </c>
    </row>
    <row r="13" spans="1:15" ht="16.5" thickBot="1">
      <c r="A13" s="192" t="s">
        <v>266</v>
      </c>
      <c r="B13" s="396">
        <v>9</v>
      </c>
      <c r="C13" s="396">
        <v>7</v>
      </c>
      <c r="D13" s="396">
        <v>6</v>
      </c>
      <c r="E13" s="396">
        <v>10</v>
      </c>
      <c r="F13" s="396">
        <v>3</v>
      </c>
      <c r="G13" s="396">
        <v>9</v>
      </c>
      <c r="H13" s="396">
        <v>35</v>
      </c>
      <c r="I13" s="396">
        <v>10</v>
      </c>
      <c r="J13" s="396">
        <v>5</v>
      </c>
      <c r="K13" s="396">
        <v>0</v>
      </c>
      <c r="L13" s="396">
        <v>0</v>
      </c>
      <c r="M13" s="396">
        <v>4</v>
      </c>
      <c r="N13" s="118">
        <f t="shared" si="0"/>
        <v>98</v>
      </c>
      <c r="O13" s="193" t="s">
        <v>266</v>
      </c>
    </row>
    <row r="14" spans="1:15" ht="16.5" thickBot="1">
      <c r="A14" s="192" t="s">
        <v>265</v>
      </c>
      <c r="B14" s="396">
        <v>5</v>
      </c>
      <c r="C14" s="396">
        <v>10</v>
      </c>
      <c r="D14" s="396">
        <v>6</v>
      </c>
      <c r="E14" s="396">
        <v>4</v>
      </c>
      <c r="F14" s="396">
        <v>2</v>
      </c>
      <c r="G14" s="396">
        <v>0</v>
      </c>
      <c r="H14" s="396">
        <v>9</v>
      </c>
      <c r="I14" s="396">
        <v>8</v>
      </c>
      <c r="J14" s="396">
        <v>9</v>
      </c>
      <c r="K14" s="396">
        <v>1</v>
      </c>
      <c r="L14" s="396">
        <v>0</v>
      </c>
      <c r="M14" s="396">
        <v>1</v>
      </c>
      <c r="N14" s="118">
        <f t="shared" si="0"/>
        <v>55</v>
      </c>
      <c r="O14" s="193" t="s">
        <v>265</v>
      </c>
    </row>
    <row r="15" spans="1:15" ht="16.5" thickBot="1">
      <c r="A15" s="192" t="s">
        <v>264</v>
      </c>
      <c r="B15" s="396">
        <v>2</v>
      </c>
      <c r="C15" s="396">
        <v>3</v>
      </c>
      <c r="D15" s="396">
        <v>4</v>
      </c>
      <c r="E15" s="396">
        <v>4</v>
      </c>
      <c r="F15" s="396">
        <v>3</v>
      </c>
      <c r="G15" s="396">
        <v>5</v>
      </c>
      <c r="H15" s="396">
        <v>7</v>
      </c>
      <c r="I15" s="396">
        <v>7</v>
      </c>
      <c r="J15" s="396">
        <v>7</v>
      </c>
      <c r="K15" s="396">
        <v>1</v>
      </c>
      <c r="L15" s="396">
        <v>1</v>
      </c>
      <c r="M15" s="396">
        <v>4</v>
      </c>
      <c r="N15" s="118">
        <f t="shared" si="0"/>
        <v>48</v>
      </c>
      <c r="O15" s="193" t="s">
        <v>264</v>
      </c>
    </row>
    <row r="16" spans="1:15" ht="16.5" thickBot="1">
      <c r="A16" s="192" t="s">
        <v>263</v>
      </c>
      <c r="B16" s="396">
        <v>0</v>
      </c>
      <c r="C16" s="396">
        <v>3</v>
      </c>
      <c r="D16" s="396">
        <v>4</v>
      </c>
      <c r="E16" s="396">
        <v>3</v>
      </c>
      <c r="F16" s="396">
        <v>6</v>
      </c>
      <c r="G16" s="396">
        <v>0</v>
      </c>
      <c r="H16" s="396">
        <v>3</v>
      </c>
      <c r="I16" s="396">
        <v>5</v>
      </c>
      <c r="J16" s="396">
        <v>4</v>
      </c>
      <c r="K16" s="396">
        <v>0</v>
      </c>
      <c r="L16" s="396">
        <v>1</v>
      </c>
      <c r="M16" s="396">
        <v>0</v>
      </c>
      <c r="N16" s="118">
        <f t="shared" si="0"/>
        <v>29</v>
      </c>
      <c r="O16" s="193" t="s">
        <v>263</v>
      </c>
    </row>
    <row r="17" spans="1:15" ht="16.5" thickBot="1">
      <c r="A17" s="192" t="s">
        <v>262</v>
      </c>
      <c r="B17" s="396">
        <v>1</v>
      </c>
      <c r="C17" s="396">
        <v>4</v>
      </c>
      <c r="D17" s="396">
        <v>1</v>
      </c>
      <c r="E17" s="396">
        <v>0</v>
      </c>
      <c r="F17" s="396">
        <v>1</v>
      </c>
      <c r="G17" s="396">
        <v>0</v>
      </c>
      <c r="H17" s="396">
        <v>2</v>
      </c>
      <c r="I17" s="396">
        <v>2</v>
      </c>
      <c r="J17" s="396">
        <v>3</v>
      </c>
      <c r="K17" s="396">
        <v>3</v>
      </c>
      <c r="L17" s="396">
        <v>0</v>
      </c>
      <c r="M17" s="396">
        <v>1</v>
      </c>
      <c r="N17" s="118">
        <f t="shared" si="0"/>
        <v>18</v>
      </c>
      <c r="O17" s="193" t="s">
        <v>262</v>
      </c>
    </row>
    <row r="18" spans="1:15" ht="16.5" thickBot="1">
      <c r="A18" s="192" t="s">
        <v>261</v>
      </c>
      <c r="B18" s="396">
        <v>0</v>
      </c>
      <c r="C18" s="396">
        <v>0</v>
      </c>
      <c r="D18" s="396">
        <v>1</v>
      </c>
      <c r="E18" s="396">
        <v>0</v>
      </c>
      <c r="F18" s="396">
        <v>2</v>
      </c>
      <c r="G18" s="396">
        <v>1</v>
      </c>
      <c r="H18" s="396">
        <v>1</v>
      </c>
      <c r="I18" s="396">
        <v>1</v>
      </c>
      <c r="J18" s="396">
        <v>1</v>
      </c>
      <c r="K18" s="396">
        <v>0</v>
      </c>
      <c r="L18" s="396">
        <v>6</v>
      </c>
      <c r="M18" s="396">
        <v>0</v>
      </c>
      <c r="N18" s="118">
        <f t="shared" si="0"/>
        <v>13</v>
      </c>
      <c r="O18" s="193" t="s">
        <v>261</v>
      </c>
    </row>
    <row r="19" spans="1:15" ht="16.5" thickBot="1">
      <c r="A19" s="192" t="s">
        <v>260</v>
      </c>
      <c r="B19" s="396">
        <v>0</v>
      </c>
      <c r="C19" s="396">
        <v>0</v>
      </c>
      <c r="D19" s="396">
        <v>0</v>
      </c>
      <c r="E19" s="396">
        <v>0</v>
      </c>
      <c r="F19" s="396">
        <v>0</v>
      </c>
      <c r="G19" s="396">
        <v>0</v>
      </c>
      <c r="H19" s="396">
        <v>0</v>
      </c>
      <c r="I19" s="396">
        <v>0</v>
      </c>
      <c r="J19" s="396">
        <v>1</v>
      </c>
      <c r="K19" s="396">
        <v>0</v>
      </c>
      <c r="L19" s="396">
        <v>2</v>
      </c>
      <c r="M19" s="396">
        <v>0</v>
      </c>
      <c r="N19" s="118">
        <f t="shared" si="0"/>
        <v>3</v>
      </c>
      <c r="O19" s="193" t="s">
        <v>260</v>
      </c>
    </row>
    <row r="20" spans="1:15" ht="16.5" thickBot="1">
      <c r="A20" s="192" t="s">
        <v>259</v>
      </c>
      <c r="B20" s="396">
        <v>0</v>
      </c>
      <c r="C20" s="396">
        <v>1</v>
      </c>
      <c r="D20" s="396">
        <v>0</v>
      </c>
      <c r="E20" s="396">
        <v>0</v>
      </c>
      <c r="F20" s="396">
        <v>0</v>
      </c>
      <c r="G20" s="396">
        <v>0</v>
      </c>
      <c r="H20" s="396">
        <v>0</v>
      </c>
      <c r="I20" s="396">
        <v>0</v>
      </c>
      <c r="J20" s="396">
        <v>0</v>
      </c>
      <c r="K20" s="396">
        <v>1</v>
      </c>
      <c r="L20" s="396">
        <v>0</v>
      </c>
      <c r="M20" s="396">
        <v>0</v>
      </c>
      <c r="N20" s="118">
        <f t="shared" si="0"/>
        <v>2</v>
      </c>
      <c r="O20" s="193" t="s">
        <v>259</v>
      </c>
    </row>
    <row r="21" spans="1:15" ht="16.5" thickBot="1">
      <c r="A21" s="192" t="s">
        <v>258</v>
      </c>
      <c r="B21" s="396">
        <v>1</v>
      </c>
      <c r="C21" s="396">
        <v>1</v>
      </c>
      <c r="D21" s="396">
        <v>0</v>
      </c>
      <c r="E21" s="396">
        <v>0</v>
      </c>
      <c r="F21" s="396">
        <v>0</v>
      </c>
      <c r="G21" s="396">
        <v>0</v>
      </c>
      <c r="H21" s="396">
        <v>0</v>
      </c>
      <c r="I21" s="396">
        <v>0</v>
      </c>
      <c r="J21" s="396">
        <v>0</v>
      </c>
      <c r="K21" s="396">
        <v>0</v>
      </c>
      <c r="L21" s="396">
        <v>0</v>
      </c>
      <c r="M21" s="396">
        <v>0</v>
      </c>
      <c r="N21" s="118">
        <f t="shared" si="0"/>
        <v>2</v>
      </c>
      <c r="O21" s="193" t="s">
        <v>258</v>
      </c>
    </row>
    <row r="22" spans="1:15" ht="16.5" thickBot="1">
      <c r="A22" s="194" t="s">
        <v>19</v>
      </c>
      <c r="B22" s="397">
        <v>0</v>
      </c>
      <c r="C22" s="397">
        <v>0</v>
      </c>
      <c r="D22" s="397">
        <v>0</v>
      </c>
      <c r="E22" s="397">
        <v>0</v>
      </c>
      <c r="F22" s="397">
        <v>0</v>
      </c>
      <c r="G22" s="397">
        <v>0</v>
      </c>
      <c r="H22" s="397">
        <v>0</v>
      </c>
      <c r="I22" s="397">
        <v>0</v>
      </c>
      <c r="J22" s="397">
        <v>0</v>
      </c>
      <c r="K22" s="397">
        <v>0</v>
      </c>
      <c r="L22" s="397">
        <v>0</v>
      </c>
      <c r="M22" s="397">
        <v>0</v>
      </c>
      <c r="N22" s="118">
        <f t="shared" si="0"/>
        <v>0</v>
      </c>
      <c r="O22" s="195" t="s">
        <v>20</v>
      </c>
    </row>
    <row r="23" spans="1:15" ht="21" customHeight="1">
      <c r="A23" s="171" t="s">
        <v>21</v>
      </c>
      <c r="B23" s="172">
        <f t="shared" ref="B23:M23" si="1">SUM(B9:B22)</f>
        <v>98</v>
      </c>
      <c r="C23" s="172">
        <f t="shared" si="1"/>
        <v>58</v>
      </c>
      <c r="D23" s="172">
        <f t="shared" si="1"/>
        <v>50</v>
      </c>
      <c r="E23" s="172">
        <f t="shared" si="1"/>
        <v>43</v>
      </c>
      <c r="F23" s="172">
        <f t="shared" si="1"/>
        <v>39</v>
      </c>
      <c r="G23" s="172">
        <f t="shared" si="1"/>
        <v>29</v>
      </c>
      <c r="H23" s="172">
        <f t="shared" si="1"/>
        <v>86</v>
      </c>
      <c r="I23" s="172">
        <f>SUM(I9:I22)</f>
        <v>39</v>
      </c>
      <c r="J23" s="172">
        <f t="shared" si="1"/>
        <v>31</v>
      </c>
      <c r="K23" s="172">
        <f t="shared" si="1"/>
        <v>6</v>
      </c>
      <c r="L23" s="172">
        <f t="shared" si="1"/>
        <v>10</v>
      </c>
      <c r="M23" s="172">
        <f t="shared" si="1"/>
        <v>11</v>
      </c>
      <c r="N23" s="188">
        <f>SUM(N8:N22)</f>
        <v>500</v>
      </c>
      <c r="O23" s="173" t="s">
        <v>176</v>
      </c>
    </row>
    <row r="24" spans="1:15">
      <c r="A24" s="151" t="s">
        <v>557</v>
      </c>
      <c r="O24" s="134" t="s">
        <v>556</v>
      </c>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rightToLeft="1" view="pageBreakPreview" zoomScaleNormal="100" zoomScaleSheetLayoutView="100" workbookViewId="0">
      <selection activeCell="A3" sqref="A3:O3"/>
    </sheetView>
  </sheetViews>
  <sheetFormatPr defaultColWidth="9.140625" defaultRowHeight="12.75"/>
  <cols>
    <col min="1" max="1" width="20" style="1" customWidth="1"/>
    <col min="2" max="2" width="13" style="1" customWidth="1"/>
    <col min="3" max="12" width="7.140625" style="1" customWidth="1"/>
    <col min="13" max="13" width="11.140625" style="1" customWidth="1"/>
    <col min="14" max="14" width="9.85546875" style="1" customWidth="1"/>
    <col min="15" max="15" width="18.85546875" style="1" customWidth="1"/>
    <col min="16" max="16384" width="9.140625" style="1"/>
  </cols>
  <sheetData>
    <row r="1" spans="1:15" ht="24" customHeight="1">
      <c r="A1" s="974" t="s">
        <v>561</v>
      </c>
      <c r="B1" s="974"/>
      <c r="C1" s="974"/>
      <c r="D1" s="974"/>
      <c r="E1" s="974"/>
      <c r="F1" s="974"/>
      <c r="G1" s="974"/>
      <c r="H1" s="974"/>
      <c r="I1" s="974"/>
      <c r="J1" s="974"/>
      <c r="K1" s="974"/>
      <c r="L1" s="974"/>
      <c r="M1" s="974"/>
      <c r="N1" s="974"/>
      <c r="O1" s="974"/>
    </row>
    <row r="2" spans="1:15" ht="15.75" customHeight="1">
      <c r="A2" s="983" t="s">
        <v>560</v>
      </c>
      <c r="B2" s="983"/>
      <c r="C2" s="983"/>
      <c r="D2" s="983"/>
      <c r="E2" s="983"/>
      <c r="F2" s="983"/>
      <c r="G2" s="983"/>
      <c r="H2" s="983"/>
      <c r="I2" s="983"/>
      <c r="J2" s="983"/>
      <c r="K2" s="983"/>
      <c r="L2" s="983"/>
      <c r="M2" s="983"/>
      <c r="N2" s="983"/>
      <c r="O2" s="983"/>
    </row>
    <row r="3" spans="1:15" ht="15.75" customHeight="1">
      <c r="A3" s="983">
        <v>2015</v>
      </c>
      <c r="B3" s="983"/>
      <c r="C3" s="983"/>
      <c r="D3" s="983"/>
      <c r="E3" s="983"/>
      <c r="F3" s="983"/>
      <c r="G3" s="983"/>
      <c r="H3" s="983"/>
      <c r="I3" s="983"/>
      <c r="J3" s="983"/>
      <c r="K3" s="983"/>
      <c r="L3" s="983"/>
      <c r="M3" s="983"/>
      <c r="N3" s="983"/>
      <c r="O3" s="983"/>
    </row>
    <row r="4" spans="1:15" ht="18.75" customHeight="1">
      <c r="A4" s="983" t="s">
        <v>1</v>
      </c>
      <c r="B4" s="983"/>
      <c r="C4" s="983"/>
      <c r="D4" s="983"/>
      <c r="E4" s="983"/>
      <c r="F4" s="983"/>
      <c r="G4" s="983"/>
      <c r="H4" s="983"/>
      <c r="I4" s="983"/>
      <c r="J4" s="983"/>
      <c r="K4" s="983"/>
      <c r="L4" s="983"/>
      <c r="M4" s="983"/>
      <c r="N4" s="983"/>
      <c r="O4" s="983"/>
    </row>
    <row r="5" spans="1:15" ht="18.75" customHeight="1">
      <c r="A5" s="647"/>
      <c r="B5" s="647"/>
      <c r="C5" s="647"/>
      <c r="D5" s="647"/>
      <c r="E5" s="647"/>
      <c r="F5" s="647"/>
      <c r="G5" s="647"/>
      <c r="H5" s="647"/>
      <c r="I5" s="647"/>
      <c r="J5" s="647"/>
      <c r="K5" s="647"/>
      <c r="L5" s="647"/>
      <c r="M5" s="647"/>
      <c r="N5" s="647"/>
      <c r="O5" s="647"/>
    </row>
    <row r="6" spans="1:15" s="93" customFormat="1" ht="16.5">
      <c r="A6" s="636" t="s">
        <v>852</v>
      </c>
      <c r="B6" s="637"/>
      <c r="C6" s="637"/>
      <c r="D6" s="637"/>
      <c r="E6" s="637"/>
      <c r="F6" s="637"/>
      <c r="G6" s="637"/>
      <c r="H6" s="637"/>
      <c r="I6" s="637"/>
      <c r="J6" s="637"/>
      <c r="K6" s="637"/>
      <c r="L6" s="637"/>
      <c r="M6" s="638"/>
      <c r="N6" s="643"/>
      <c r="O6" s="643" t="s">
        <v>853</v>
      </c>
    </row>
    <row r="7" spans="1:15" ht="27.75" customHeight="1" thickBot="1">
      <c r="A7" s="970" t="s">
        <v>519</v>
      </c>
      <c r="B7" s="1056" t="s">
        <v>970</v>
      </c>
      <c r="C7" s="1053"/>
      <c r="D7" s="1053"/>
      <c r="E7" s="1053"/>
      <c r="F7" s="1053"/>
      <c r="G7" s="1053"/>
      <c r="H7" s="1053"/>
      <c r="I7" s="1053"/>
      <c r="J7" s="1053"/>
      <c r="K7" s="1053"/>
      <c r="L7" s="1053"/>
      <c r="M7" s="1053"/>
      <c r="N7" s="1053"/>
      <c r="O7" s="1054" t="s">
        <v>559</v>
      </c>
    </row>
    <row r="8" spans="1:15" ht="42.75" customHeight="1">
      <c r="A8" s="977"/>
      <c r="B8" s="582" t="s">
        <v>558</v>
      </c>
      <c r="C8" s="590">
        <v>-1</v>
      </c>
      <c r="D8" s="590">
        <v>1</v>
      </c>
      <c r="E8" s="590">
        <v>2</v>
      </c>
      <c r="F8" s="590">
        <v>3</v>
      </c>
      <c r="G8" s="590">
        <v>4</v>
      </c>
      <c r="H8" s="590" t="s">
        <v>534</v>
      </c>
      <c r="I8" s="590" t="s">
        <v>532</v>
      </c>
      <c r="J8" s="590" t="s">
        <v>530</v>
      </c>
      <c r="K8" s="590" t="s">
        <v>311</v>
      </c>
      <c r="L8" s="590" t="s">
        <v>529</v>
      </c>
      <c r="M8" s="591" t="s">
        <v>8</v>
      </c>
      <c r="N8" s="591" t="s">
        <v>256</v>
      </c>
      <c r="O8" s="1055"/>
    </row>
    <row r="9" spans="1:15" ht="16.5" thickBot="1">
      <c r="A9" s="85" t="s">
        <v>751</v>
      </c>
      <c r="B9" s="84">
        <v>1</v>
      </c>
      <c r="C9" s="84">
        <v>0</v>
      </c>
      <c r="D9" s="84">
        <v>0</v>
      </c>
      <c r="E9" s="84">
        <v>0</v>
      </c>
      <c r="F9" s="84">
        <v>0</v>
      </c>
      <c r="G9" s="84">
        <v>0</v>
      </c>
      <c r="H9" s="84">
        <v>0</v>
      </c>
      <c r="I9" s="84">
        <v>0</v>
      </c>
      <c r="J9" s="84">
        <v>0</v>
      </c>
      <c r="K9" s="84">
        <v>0</v>
      </c>
      <c r="L9" s="84">
        <v>0</v>
      </c>
      <c r="M9" s="84">
        <v>0</v>
      </c>
      <c r="N9" s="118">
        <f>SUM(B9:M9)</f>
        <v>1</v>
      </c>
      <c r="O9" s="82" t="s">
        <v>751</v>
      </c>
    </row>
    <row r="10" spans="1:15" ht="16.5" thickBot="1">
      <c r="A10" s="192" t="s">
        <v>269</v>
      </c>
      <c r="B10" s="396">
        <v>55</v>
      </c>
      <c r="C10" s="396">
        <v>13</v>
      </c>
      <c r="D10" s="396">
        <v>30</v>
      </c>
      <c r="E10" s="396">
        <v>20</v>
      </c>
      <c r="F10" s="396">
        <v>12</v>
      </c>
      <c r="G10" s="396">
        <v>2</v>
      </c>
      <c r="H10" s="396">
        <v>0</v>
      </c>
      <c r="I10" s="396">
        <v>0</v>
      </c>
      <c r="J10" s="396">
        <v>0</v>
      </c>
      <c r="K10" s="396">
        <v>0</v>
      </c>
      <c r="L10" s="396">
        <v>0</v>
      </c>
      <c r="M10" s="396">
        <v>1</v>
      </c>
      <c r="N10" s="118">
        <f t="shared" ref="N10:N22" si="0">SUM(B10:M10)</f>
        <v>133</v>
      </c>
      <c r="O10" s="193" t="s">
        <v>269</v>
      </c>
    </row>
    <row r="11" spans="1:15" ht="16.5" thickBot="1">
      <c r="A11" s="192" t="s">
        <v>268</v>
      </c>
      <c r="B11" s="396">
        <v>122</v>
      </c>
      <c r="C11" s="396">
        <v>31</v>
      </c>
      <c r="D11" s="396">
        <v>47</v>
      </c>
      <c r="E11" s="396">
        <v>42</v>
      </c>
      <c r="F11" s="396">
        <v>31</v>
      </c>
      <c r="G11" s="396">
        <v>25</v>
      </c>
      <c r="H11" s="396">
        <v>32</v>
      </c>
      <c r="I11" s="396">
        <v>1</v>
      </c>
      <c r="J11" s="396">
        <v>0</v>
      </c>
      <c r="K11" s="396">
        <v>0</v>
      </c>
      <c r="L11" s="396">
        <v>0</v>
      </c>
      <c r="M11" s="396">
        <v>0</v>
      </c>
      <c r="N11" s="118">
        <f t="shared" si="0"/>
        <v>331</v>
      </c>
      <c r="O11" s="193" t="s">
        <v>268</v>
      </c>
    </row>
    <row r="12" spans="1:15" ht="16.5" thickBot="1">
      <c r="A12" s="192" t="s">
        <v>267</v>
      </c>
      <c r="B12" s="396">
        <v>64</v>
      </c>
      <c r="C12" s="396">
        <v>29</v>
      </c>
      <c r="D12" s="396">
        <v>27</v>
      </c>
      <c r="E12" s="396">
        <v>16</v>
      </c>
      <c r="F12" s="396">
        <v>18</v>
      </c>
      <c r="G12" s="396">
        <v>18</v>
      </c>
      <c r="H12" s="396">
        <v>70</v>
      </c>
      <c r="I12" s="396">
        <v>24</v>
      </c>
      <c r="J12" s="396">
        <v>1</v>
      </c>
      <c r="K12" s="396">
        <v>0</v>
      </c>
      <c r="L12" s="396">
        <v>0</v>
      </c>
      <c r="M12" s="396">
        <v>2</v>
      </c>
      <c r="N12" s="118">
        <f t="shared" si="0"/>
        <v>269</v>
      </c>
      <c r="O12" s="193" t="s">
        <v>267</v>
      </c>
    </row>
    <row r="13" spans="1:15" ht="16.5" thickBot="1">
      <c r="A13" s="192" t="s">
        <v>266</v>
      </c>
      <c r="B13" s="396">
        <v>26</v>
      </c>
      <c r="C13" s="396">
        <v>18</v>
      </c>
      <c r="D13" s="396">
        <v>13</v>
      </c>
      <c r="E13" s="396">
        <v>16</v>
      </c>
      <c r="F13" s="396">
        <v>5</v>
      </c>
      <c r="G13" s="396">
        <v>10</v>
      </c>
      <c r="H13" s="396">
        <v>56</v>
      </c>
      <c r="I13" s="396">
        <v>29</v>
      </c>
      <c r="J13" s="396">
        <v>11</v>
      </c>
      <c r="K13" s="396">
        <v>0</v>
      </c>
      <c r="L13" s="396">
        <v>0</v>
      </c>
      <c r="M13" s="396">
        <v>4</v>
      </c>
      <c r="N13" s="118">
        <f t="shared" si="0"/>
        <v>188</v>
      </c>
      <c r="O13" s="193" t="s">
        <v>266</v>
      </c>
    </row>
    <row r="14" spans="1:15" ht="16.5" thickBot="1">
      <c r="A14" s="192" t="s">
        <v>265</v>
      </c>
      <c r="B14" s="396">
        <v>15</v>
      </c>
      <c r="C14" s="396">
        <v>16</v>
      </c>
      <c r="D14" s="396">
        <v>11</v>
      </c>
      <c r="E14" s="396">
        <v>7</v>
      </c>
      <c r="F14" s="396">
        <v>3</v>
      </c>
      <c r="G14" s="396">
        <v>3</v>
      </c>
      <c r="H14" s="396">
        <v>13</v>
      </c>
      <c r="I14" s="396">
        <v>22</v>
      </c>
      <c r="J14" s="396">
        <v>19</v>
      </c>
      <c r="K14" s="396">
        <v>5</v>
      </c>
      <c r="L14" s="396">
        <v>0</v>
      </c>
      <c r="M14" s="396">
        <v>4</v>
      </c>
      <c r="N14" s="118">
        <f t="shared" si="0"/>
        <v>118</v>
      </c>
      <c r="O14" s="193" t="s">
        <v>265</v>
      </c>
    </row>
    <row r="15" spans="1:15" ht="16.5" thickBot="1">
      <c r="A15" s="192" t="s">
        <v>264</v>
      </c>
      <c r="B15" s="396">
        <v>8</v>
      </c>
      <c r="C15" s="396">
        <v>15</v>
      </c>
      <c r="D15" s="396">
        <v>9</v>
      </c>
      <c r="E15" s="396">
        <v>6</v>
      </c>
      <c r="F15" s="396">
        <v>3</v>
      </c>
      <c r="G15" s="396">
        <v>5</v>
      </c>
      <c r="H15" s="396">
        <v>13</v>
      </c>
      <c r="I15" s="396">
        <v>13</v>
      </c>
      <c r="J15" s="396">
        <v>13</v>
      </c>
      <c r="K15" s="396">
        <v>10</v>
      </c>
      <c r="L15" s="396">
        <v>4</v>
      </c>
      <c r="M15" s="396">
        <v>5</v>
      </c>
      <c r="N15" s="118">
        <f t="shared" si="0"/>
        <v>104</v>
      </c>
      <c r="O15" s="193" t="s">
        <v>264</v>
      </c>
    </row>
    <row r="16" spans="1:15" ht="16.5" thickBot="1">
      <c r="A16" s="192" t="s">
        <v>263</v>
      </c>
      <c r="B16" s="396">
        <v>3</v>
      </c>
      <c r="C16" s="396">
        <v>8</v>
      </c>
      <c r="D16" s="396">
        <v>9</v>
      </c>
      <c r="E16" s="396">
        <v>5</v>
      </c>
      <c r="F16" s="396">
        <v>6</v>
      </c>
      <c r="G16" s="396">
        <v>0</v>
      </c>
      <c r="H16" s="396">
        <v>8</v>
      </c>
      <c r="I16" s="396">
        <v>9</v>
      </c>
      <c r="J16" s="396">
        <v>8</v>
      </c>
      <c r="K16" s="396">
        <v>3</v>
      </c>
      <c r="L16" s="396">
        <v>3</v>
      </c>
      <c r="M16" s="396">
        <v>2</v>
      </c>
      <c r="N16" s="118">
        <f t="shared" si="0"/>
        <v>64</v>
      </c>
      <c r="O16" s="193" t="s">
        <v>263</v>
      </c>
    </row>
    <row r="17" spans="1:15" ht="16.5" thickBot="1">
      <c r="A17" s="192" t="s">
        <v>262</v>
      </c>
      <c r="B17" s="396">
        <v>1</v>
      </c>
      <c r="C17" s="396">
        <v>8</v>
      </c>
      <c r="D17" s="396">
        <v>2</v>
      </c>
      <c r="E17" s="396">
        <v>1</v>
      </c>
      <c r="F17" s="396">
        <v>1</v>
      </c>
      <c r="G17" s="396">
        <v>0</v>
      </c>
      <c r="H17" s="396">
        <v>5</v>
      </c>
      <c r="I17" s="396">
        <v>2</v>
      </c>
      <c r="J17" s="396">
        <v>3</v>
      </c>
      <c r="K17" s="396">
        <v>3</v>
      </c>
      <c r="L17" s="396">
        <v>13</v>
      </c>
      <c r="M17" s="396">
        <v>1</v>
      </c>
      <c r="N17" s="118">
        <f t="shared" si="0"/>
        <v>40</v>
      </c>
      <c r="O17" s="193" t="s">
        <v>262</v>
      </c>
    </row>
    <row r="18" spans="1:15" ht="16.5" thickBot="1">
      <c r="A18" s="192" t="s">
        <v>261</v>
      </c>
      <c r="B18" s="396">
        <v>0</v>
      </c>
      <c r="C18" s="396">
        <v>1</v>
      </c>
      <c r="D18" s="396">
        <v>1</v>
      </c>
      <c r="E18" s="396">
        <v>1</v>
      </c>
      <c r="F18" s="396">
        <v>2</v>
      </c>
      <c r="G18" s="396">
        <v>1</v>
      </c>
      <c r="H18" s="396">
        <v>3</v>
      </c>
      <c r="I18" s="396">
        <v>4</v>
      </c>
      <c r="J18" s="396">
        <v>2</v>
      </c>
      <c r="K18" s="396">
        <v>2</v>
      </c>
      <c r="L18" s="396">
        <v>14</v>
      </c>
      <c r="M18" s="396">
        <v>1</v>
      </c>
      <c r="N18" s="118">
        <f t="shared" si="0"/>
        <v>32</v>
      </c>
      <c r="O18" s="193" t="s">
        <v>261</v>
      </c>
    </row>
    <row r="19" spans="1:15" ht="16.5" thickBot="1">
      <c r="A19" s="192" t="s">
        <v>260</v>
      </c>
      <c r="B19" s="396">
        <v>0</v>
      </c>
      <c r="C19" s="396">
        <v>0</v>
      </c>
      <c r="D19" s="396">
        <v>1</v>
      </c>
      <c r="E19" s="396">
        <v>0</v>
      </c>
      <c r="F19" s="396">
        <v>0</v>
      </c>
      <c r="G19" s="396">
        <v>1</v>
      </c>
      <c r="H19" s="396">
        <v>1</v>
      </c>
      <c r="I19" s="396">
        <v>0</v>
      </c>
      <c r="J19" s="396">
        <v>2</v>
      </c>
      <c r="K19" s="396">
        <v>0</v>
      </c>
      <c r="L19" s="396">
        <v>7</v>
      </c>
      <c r="M19" s="396">
        <v>1</v>
      </c>
      <c r="N19" s="118">
        <f t="shared" si="0"/>
        <v>13</v>
      </c>
      <c r="O19" s="193" t="s">
        <v>260</v>
      </c>
    </row>
    <row r="20" spans="1:15" ht="16.5" thickBot="1">
      <c r="A20" s="192" t="s">
        <v>259</v>
      </c>
      <c r="B20" s="396">
        <v>0</v>
      </c>
      <c r="C20" s="396">
        <v>1</v>
      </c>
      <c r="D20" s="396">
        <v>0</v>
      </c>
      <c r="E20" s="396">
        <v>0</v>
      </c>
      <c r="F20" s="396">
        <v>0</v>
      </c>
      <c r="G20" s="396">
        <v>0</v>
      </c>
      <c r="H20" s="396">
        <v>2</v>
      </c>
      <c r="I20" s="396">
        <v>2</v>
      </c>
      <c r="J20" s="396">
        <v>0</v>
      </c>
      <c r="K20" s="396">
        <v>1</v>
      </c>
      <c r="L20" s="396">
        <v>4</v>
      </c>
      <c r="M20" s="396">
        <v>1</v>
      </c>
      <c r="N20" s="118">
        <f t="shared" si="0"/>
        <v>11</v>
      </c>
      <c r="O20" s="193" t="s">
        <v>259</v>
      </c>
    </row>
    <row r="21" spans="1:15" ht="16.5" thickBot="1">
      <c r="A21" s="192" t="s">
        <v>258</v>
      </c>
      <c r="B21" s="396">
        <v>1</v>
      </c>
      <c r="C21" s="396">
        <v>1</v>
      </c>
      <c r="D21" s="396">
        <v>0</v>
      </c>
      <c r="E21" s="396">
        <v>0</v>
      </c>
      <c r="F21" s="396">
        <v>0</v>
      </c>
      <c r="G21" s="396">
        <v>0</v>
      </c>
      <c r="H21" s="396">
        <v>0</v>
      </c>
      <c r="I21" s="396">
        <v>0</v>
      </c>
      <c r="J21" s="396">
        <v>0</v>
      </c>
      <c r="K21" s="396">
        <v>0</v>
      </c>
      <c r="L21" s="396">
        <v>1</v>
      </c>
      <c r="M21" s="396">
        <v>0</v>
      </c>
      <c r="N21" s="118">
        <f t="shared" si="0"/>
        <v>3</v>
      </c>
      <c r="O21" s="193" t="s">
        <v>258</v>
      </c>
    </row>
    <row r="22" spans="1:15" ht="16.5" thickBot="1">
      <c r="A22" s="194" t="s">
        <v>19</v>
      </c>
      <c r="B22" s="397">
        <v>0</v>
      </c>
      <c r="C22" s="397">
        <v>0</v>
      </c>
      <c r="D22" s="397">
        <v>0</v>
      </c>
      <c r="E22" s="397">
        <v>0</v>
      </c>
      <c r="F22" s="397">
        <v>0</v>
      </c>
      <c r="G22" s="397">
        <v>0</v>
      </c>
      <c r="H22" s="397">
        <v>0</v>
      </c>
      <c r="I22" s="397">
        <v>0</v>
      </c>
      <c r="J22" s="397">
        <v>0</v>
      </c>
      <c r="K22" s="397">
        <v>0</v>
      </c>
      <c r="L22" s="397">
        <v>0</v>
      </c>
      <c r="M22" s="397">
        <v>0</v>
      </c>
      <c r="N22" s="118">
        <f t="shared" si="0"/>
        <v>0</v>
      </c>
      <c r="O22" s="195" t="s">
        <v>20</v>
      </c>
    </row>
    <row r="23" spans="1:15" ht="21" customHeight="1">
      <c r="A23" s="171" t="s">
        <v>21</v>
      </c>
      <c r="B23" s="172">
        <f t="shared" ref="B23:M23" si="1">SUM(B9:B22)</f>
        <v>296</v>
      </c>
      <c r="C23" s="172">
        <f t="shared" si="1"/>
        <v>141</v>
      </c>
      <c r="D23" s="172">
        <f t="shared" si="1"/>
        <v>150</v>
      </c>
      <c r="E23" s="172">
        <f t="shared" si="1"/>
        <v>114</v>
      </c>
      <c r="F23" s="172">
        <f t="shared" si="1"/>
        <v>81</v>
      </c>
      <c r="G23" s="172">
        <f t="shared" si="1"/>
        <v>65</v>
      </c>
      <c r="H23" s="172">
        <f t="shared" si="1"/>
        <v>203</v>
      </c>
      <c r="I23" s="172">
        <f t="shared" si="1"/>
        <v>106</v>
      </c>
      <c r="J23" s="172">
        <f t="shared" si="1"/>
        <v>59</v>
      </c>
      <c r="K23" s="172">
        <f t="shared" si="1"/>
        <v>24</v>
      </c>
      <c r="L23" s="172">
        <f t="shared" si="1"/>
        <v>46</v>
      </c>
      <c r="M23" s="172">
        <f t="shared" si="1"/>
        <v>22</v>
      </c>
      <c r="N23" s="188">
        <f>SUM(N8:N22)</f>
        <v>1307</v>
      </c>
      <c r="O23" s="173" t="s">
        <v>176</v>
      </c>
    </row>
    <row r="24" spans="1:15">
      <c r="A24" s="151" t="s">
        <v>557</v>
      </c>
      <c r="O24" s="134" t="s">
        <v>556</v>
      </c>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rightToLeft="1" view="pageBreakPreview" zoomScaleNormal="100" zoomScaleSheetLayoutView="100" workbookViewId="0">
      <selection activeCell="A3" sqref="A3:O3"/>
    </sheetView>
  </sheetViews>
  <sheetFormatPr defaultColWidth="9.140625" defaultRowHeight="12.75"/>
  <cols>
    <col min="1" max="1" width="20" style="1" customWidth="1"/>
    <col min="2" max="2" width="13" style="1" customWidth="1"/>
    <col min="3" max="12" width="7.140625" style="1" customWidth="1"/>
    <col min="13" max="13" width="11.42578125" style="1" customWidth="1"/>
    <col min="14" max="14" width="9.85546875" style="1" customWidth="1"/>
    <col min="15" max="15" width="18.85546875" style="1" customWidth="1"/>
    <col min="16" max="16384" width="9.140625" style="1"/>
  </cols>
  <sheetData>
    <row r="1" spans="1:15" ht="24" customHeight="1">
      <c r="A1" s="974" t="s">
        <v>564</v>
      </c>
      <c r="B1" s="974"/>
      <c r="C1" s="974"/>
      <c r="D1" s="974"/>
      <c r="E1" s="974"/>
      <c r="F1" s="974"/>
      <c r="G1" s="974"/>
      <c r="H1" s="974"/>
      <c r="I1" s="974"/>
      <c r="J1" s="974"/>
      <c r="K1" s="974"/>
      <c r="L1" s="974"/>
      <c r="M1" s="974"/>
      <c r="N1" s="974"/>
      <c r="O1" s="974"/>
    </row>
    <row r="2" spans="1:15" ht="15.75" customHeight="1">
      <c r="A2" s="983" t="s">
        <v>563</v>
      </c>
      <c r="B2" s="983"/>
      <c r="C2" s="983"/>
      <c r="D2" s="983"/>
      <c r="E2" s="983"/>
      <c r="F2" s="983"/>
      <c r="G2" s="983"/>
      <c r="H2" s="983"/>
      <c r="I2" s="983"/>
      <c r="J2" s="983"/>
      <c r="K2" s="983"/>
      <c r="L2" s="983"/>
      <c r="M2" s="983"/>
      <c r="N2" s="983"/>
      <c r="O2" s="983"/>
    </row>
    <row r="3" spans="1:15" ht="15.75" customHeight="1">
      <c r="A3" s="983">
        <v>2015</v>
      </c>
      <c r="B3" s="983"/>
      <c r="C3" s="983"/>
      <c r="D3" s="983"/>
      <c r="E3" s="983"/>
      <c r="F3" s="983"/>
      <c r="G3" s="983"/>
      <c r="H3" s="983"/>
      <c r="I3" s="983"/>
      <c r="J3" s="983"/>
      <c r="K3" s="983"/>
      <c r="L3" s="983"/>
      <c r="M3" s="983"/>
      <c r="N3" s="983"/>
      <c r="O3" s="983"/>
    </row>
    <row r="4" spans="1:15" ht="18.75" customHeight="1">
      <c r="A4" s="983" t="s">
        <v>330</v>
      </c>
      <c r="B4" s="983"/>
      <c r="C4" s="983"/>
      <c r="D4" s="983"/>
      <c r="E4" s="983"/>
      <c r="F4" s="983"/>
      <c r="G4" s="983"/>
      <c r="H4" s="983"/>
      <c r="I4" s="983"/>
      <c r="J4" s="983"/>
      <c r="K4" s="983"/>
      <c r="L4" s="983"/>
      <c r="M4" s="983"/>
      <c r="N4" s="983"/>
      <c r="O4" s="983"/>
    </row>
    <row r="5" spans="1:15" ht="18.75" customHeight="1">
      <c r="A5" s="647"/>
      <c r="B5" s="647"/>
      <c r="C5" s="647"/>
      <c r="D5" s="647"/>
      <c r="E5" s="647"/>
      <c r="F5" s="647"/>
      <c r="G5" s="647"/>
      <c r="H5" s="647"/>
      <c r="I5" s="647"/>
      <c r="J5" s="647"/>
      <c r="K5" s="647"/>
      <c r="L5" s="647"/>
      <c r="M5" s="647"/>
      <c r="N5" s="647"/>
      <c r="O5" s="647"/>
    </row>
    <row r="6" spans="1:15" s="93" customFormat="1" ht="16.5">
      <c r="A6" s="636" t="s">
        <v>805</v>
      </c>
      <c r="B6" s="637"/>
      <c r="C6" s="637"/>
      <c r="D6" s="637"/>
      <c r="E6" s="637"/>
      <c r="F6" s="637"/>
      <c r="G6" s="637"/>
      <c r="H6" s="637"/>
      <c r="I6" s="637"/>
      <c r="J6" s="637"/>
      <c r="K6" s="637"/>
      <c r="L6" s="637"/>
      <c r="M6" s="638"/>
      <c r="N6" s="643"/>
      <c r="O6" s="643" t="s">
        <v>806</v>
      </c>
    </row>
    <row r="7" spans="1:15" ht="27.75" customHeight="1" thickBot="1">
      <c r="A7" s="970" t="s">
        <v>524</v>
      </c>
      <c r="B7" s="1056" t="s">
        <v>562</v>
      </c>
      <c r="C7" s="1053"/>
      <c r="D7" s="1053"/>
      <c r="E7" s="1053"/>
      <c r="F7" s="1053"/>
      <c r="G7" s="1053"/>
      <c r="H7" s="1053"/>
      <c r="I7" s="1053"/>
      <c r="J7" s="1053"/>
      <c r="K7" s="1053"/>
      <c r="L7" s="1053"/>
      <c r="M7" s="1053"/>
      <c r="N7" s="1053"/>
      <c r="O7" s="972" t="s">
        <v>522</v>
      </c>
    </row>
    <row r="8" spans="1:15" ht="42.75" customHeight="1">
      <c r="A8" s="977"/>
      <c r="B8" s="582" t="s">
        <v>558</v>
      </c>
      <c r="C8" s="590">
        <v>-1</v>
      </c>
      <c r="D8" s="590">
        <v>1</v>
      </c>
      <c r="E8" s="590">
        <v>2</v>
      </c>
      <c r="F8" s="590">
        <v>3</v>
      </c>
      <c r="G8" s="590">
        <v>4</v>
      </c>
      <c r="H8" s="590" t="s">
        <v>534</v>
      </c>
      <c r="I8" s="590" t="s">
        <v>532</v>
      </c>
      <c r="J8" s="590" t="s">
        <v>530</v>
      </c>
      <c r="K8" s="590" t="s">
        <v>311</v>
      </c>
      <c r="L8" s="590" t="s">
        <v>529</v>
      </c>
      <c r="M8" s="591" t="s">
        <v>8</v>
      </c>
      <c r="N8" s="591" t="s">
        <v>256</v>
      </c>
      <c r="O8" s="978"/>
    </row>
    <row r="9" spans="1:15" ht="19.5" customHeight="1" thickBot="1">
      <c r="A9" s="85" t="s">
        <v>751</v>
      </c>
      <c r="B9" s="84">
        <v>19</v>
      </c>
      <c r="C9" s="84">
        <v>1</v>
      </c>
      <c r="D9" s="84">
        <v>6</v>
      </c>
      <c r="E9" s="84">
        <v>2</v>
      </c>
      <c r="F9" s="84">
        <v>2</v>
      </c>
      <c r="G9" s="84">
        <v>1</v>
      </c>
      <c r="H9" s="84">
        <v>0</v>
      </c>
      <c r="I9" s="84">
        <v>0</v>
      </c>
      <c r="J9" s="84">
        <v>0</v>
      </c>
      <c r="K9" s="84">
        <v>0</v>
      </c>
      <c r="L9" s="84">
        <v>0</v>
      </c>
      <c r="M9" s="84">
        <v>0</v>
      </c>
      <c r="N9" s="118">
        <f>SUM(B9:M9)</f>
        <v>31</v>
      </c>
      <c r="O9" s="82" t="s">
        <v>751</v>
      </c>
    </row>
    <row r="10" spans="1:15" ht="19.5" customHeight="1" thickBot="1">
      <c r="A10" s="192" t="s">
        <v>269</v>
      </c>
      <c r="B10" s="396">
        <v>76</v>
      </c>
      <c r="C10" s="396">
        <v>20</v>
      </c>
      <c r="D10" s="396">
        <v>35</v>
      </c>
      <c r="E10" s="396">
        <v>24</v>
      </c>
      <c r="F10" s="396">
        <v>12</v>
      </c>
      <c r="G10" s="396">
        <v>6</v>
      </c>
      <c r="H10" s="396">
        <v>8</v>
      </c>
      <c r="I10" s="396">
        <v>0</v>
      </c>
      <c r="J10" s="396">
        <v>0</v>
      </c>
      <c r="K10" s="396">
        <v>0</v>
      </c>
      <c r="L10" s="396">
        <v>0</v>
      </c>
      <c r="M10" s="396">
        <v>1</v>
      </c>
      <c r="N10" s="118">
        <f t="shared" ref="N10:N19" si="0">SUM(B10:M10)</f>
        <v>182</v>
      </c>
      <c r="O10" s="193" t="s">
        <v>269</v>
      </c>
    </row>
    <row r="11" spans="1:15" ht="19.5" customHeight="1" thickBot="1">
      <c r="A11" s="192" t="s">
        <v>268</v>
      </c>
      <c r="B11" s="396">
        <v>54</v>
      </c>
      <c r="C11" s="396">
        <v>18</v>
      </c>
      <c r="D11" s="396">
        <v>21</v>
      </c>
      <c r="E11" s="396">
        <v>17</v>
      </c>
      <c r="F11" s="396">
        <v>15</v>
      </c>
      <c r="G11" s="396">
        <v>14</v>
      </c>
      <c r="H11" s="396">
        <v>36</v>
      </c>
      <c r="I11" s="396">
        <v>5</v>
      </c>
      <c r="J11" s="396">
        <v>0</v>
      </c>
      <c r="K11" s="396">
        <v>0</v>
      </c>
      <c r="L11" s="396">
        <v>0</v>
      </c>
      <c r="M11" s="396">
        <v>0</v>
      </c>
      <c r="N11" s="118">
        <f t="shared" si="0"/>
        <v>180</v>
      </c>
      <c r="O11" s="193" t="s">
        <v>268</v>
      </c>
    </row>
    <row r="12" spans="1:15" ht="19.5" customHeight="1" thickBot="1">
      <c r="A12" s="192" t="s">
        <v>267</v>
      </c>
      <c r="B12" s="396">
        <v>20</v>
      </c>
      <c r="C12" s="396">
        <v>9</v>
      </c>
      <c r="D12" s="396">
        <v>5</v>
      </c>
      <c r="E12" s="396">
        <v>7</v>
      </c>
      <c r="F12" s="396">
        <v>4</v>
      </c>
      <c r="G12" s="396">
        <v>7</v>
      </c>
      <c r="H12" s="396">
        <v>19</v>
      </c>
      <c r="I12" s="396">
        <v>29</v>
      </c>
      <c r="J12" s="396">
        <v>4</v>
      </c>
      <c r="K12" s="396">
        <v>0</v>
      </c>
      <c r="L12" s="396">
        <v>0</v>
      </c>
      <c r="M12" s="396">
        <v>0</v>
      </c>
      <c r="N12" s="118">
        <f t="shared" si="0"/>
        <v>104</v>
      </c>
      <c r="O12" s="193" t="s">
        <v>267</v>
      </c>
    </row>
    <row r="13" spans="1:15" ht="19.5" customHeight="1" thickBot="1">
      <c r="A13" s="192" t="s">
        <v>266</v>
      </c>
      <c r="B13" s="396">
        <v>6</v>
      </c>
      <c r="C13" s="396">
        <v>8</v>
      </c>
      <c r="D13" s="396">
        <v>5</v>
      </c>
      <c r="E13" s="396">
        <v>5</v>
      </c>
      <c r="F13" s="396">
        <v>2</v>
      </c>
      <c r="G13" s="396">
        <v>1</v>
      </c>
      <c r="H13" s="396">
        <v>13</v>
      </c>
      <c r="I13" s="396">
        <v>17</v>
      </c>
      <c r="J13" s="396">
        <v>14</v>
      </c>
      <c r="K13" s="396">
        <v>1</v>
      </c>
      <c r="L13" s="396">
        <v>0</v>
      </c>
      <c r="M13" s="396">
        <v>2</v>
      </c>
      <c r="N13" s="118">
        <f t="shared" si="0"/>
        <v>74</v>
      </c>
      <c r="O13" s="193" t="s">
        <v>266</v>
      </c>
    </row>
    <row r="14" spans="1:15" ht="19.5" customHeight="1" thickBot="1">
      <c r="A14" s="192" t="s">
        <v>265</v>
      </c>
      <c r="B14" s="396">
        <v>6</v>
      </c>
      <c r="C14" s="396">
        <v>5</v>
      </c>
      <c r="D14" s="396">
        <v>3</v>
      </c>
      <c r="E14" s="396">
        <v>3</v>
      </c>
      <c r="F14" s="396">
        <v>0</v>
      </c>
      <c r="G14" s="396">
        <v>2</v>
      </c>
      <c r="H14" s="396">
        <v>11</v>
      </c>
      <c r="I14" s="396">
        <v>3</v>
      </c>
      <c r="J14" s="396">
        <v>4</v>
      </c>
      <c r="K14" s="396">
        <v>6</v>
      </c>
      <c r="L14" s="396">
        <v>1</v>
      </c>
      <c r="M14" s="396">
        <v>2</v>
      </c>
      <c r="N14" s="118">
        <f t="shared" si="0"/>
        <v>46</v>
      </c>
      <c r="O14" s="193" t="s">
        <v>265</v>
      </c>
    </row>
    <row r="15" spans="1:15" ht="19.5" customHeight="1" thickBot="1">
      <c r="A15" s="192" t="s">
        <v>264</v>
      </c>
      <c r="B15" s="396">
        <v>1</v>
      </c>
      <c r="C15" s="396">
        <v>4</v>
      </c>
      <c r="D15" s="396">
        <v>4</v>
      </c>
      <c r="E15" s="396">
        <v>1</v>
      </c>
      <c r="F15" s="396">
        <v>1</v>
      </c>
      <c r="G15" s="396">
        <v>1</v>
      </c>
      <c r="H15" s="396">
        <v>3</v>
      </c>
      <c r="I15" s="396">
        <v>6</v>
      </c>
      <c r="J15" s="396">
        <v>3</v>
      </c>
      <c r="K15" s="396">
        <v>6</v>
      </c>
      <c r="L15" s="396">
        <v>9</v>
      </c>
      <c r="M15" s="396">
        <v>2</v>
      </c>
      <c r="N15" s="118">
        <f t="shared" si="0"/>
        <v>41</v>
      </c>
      <c r="O15" s="193" t="s">
        <v>264</v>
      </c>
    </row>
    <row r="16" spans="1:15" ht="19.5" customHeight="1" thickBot="1">
      <c r="A16" s="192" t="s">
        <v>263</v>
      </c>
      <c r="B16" s="396">
        <v>0</v>
      </c>
      <c r="C16" s="396">
        <v>1</v>
      </c>
      <c r="D16" s="396">
        <v>0</v>
      </c>
      <c r="E16" s="396">
        <v>2</v>
      </c>
      <c r="F16" s="396">
        <v>0</v>
      </c>
      <c r="G16" s="396">
        <v>0</v>
      </c>
      <c r="H16" s="396">
        <v>2</v>
      </c>
      <c r="I16" s="396">
        <v>2</v>
      </c>
      <c r="J16" s="396">
        <v>2</v>
      </c>
      <c r="K16" s="396">
        <v>4</v>
      </c>
      <c r="L16" s="396">
        <v>9</v>
      </c>
      <c r="M16" s="396">
        <v>0</v>
      </c>
      <c r="N16" s="118">
        <f t="shared" si="0"/>
        <v>22</v>
      </c>
      <c r="O16" s="193" t="s">
        <v>263</v>
      </c>
    </row>
    <row r="17" spans="1:15" ht="19.5" customHeight="1" thickBot="1">
      <c r="A17" s="192" t="s">
        <v>262</v>
      </c>
      <c r="B17" s="396">
        <v>0</v>
      </c>
      <c r="C17" s="396">
        <v>2</v>
      </c>
      <c r="D17" s="396">
        <v>0</v>
      </c>
      <c r="E17" s="396">
        <v>0</v>
      </c>
      <c r="F17" s="396">
        <v>0</v>
      </c>
      <c r="G17" s="396">
        <v>0</v>
      </c>
      <c r="H17" s="396">
        <v>0</v>
      </c>
      <c r="I17" s="396">
        <v>1</v>
      </c>
      <c r="J17" s="396">
        <v>1</v>
      </c>
      <c r="K17" s="396">
        <v>1</v>
      </c>
      <c r="L17" s="396">
        <v>15</v>
      </c>
      <c r="M17" s="396">
        <v>0</v>
      </c>
      <c r="N17" s="118">
        <f t="shared" si="0"/>
        <v>20</v>
      </c>
      <c r="O17" s="193" t="s">
        <v>262</v>
      </c>
    </row>
    <row r="18" spans="1:15" ht="19.5" customHeight="1" thickBot="1">
      <c r="A18" s="192" t="s">
        <v>275</v>
      </c>
      <c r="B18" s="396">
        <v>0</v>
      </c>
      <c r="C18" s="396">
        <v>0</v>
      </c>
      <c r="D18" s="396">
        <v>0</v>
      </c>
      <c r="E18" s="396">
        <v>0</v>
      </c>
      <c r="F18" s="396">
        <v>0</v>
      </c>
      <c r="G18" s="396">
        <v>0</v>
      </c>
      <c r="H18" s="396">
        <v>0</v>
      </c>
      <c r="I18" s="396">
        <v>0</v>
      </c>
      <c r="J18" s="396">
        <v>0</v>
      </c>
      <c r="K18" s="396">
        <v>0</v>
      </c>
      <c r="L18" s="396">
        <v>5</v>
      </c>
      <c r="M18" s="396">
        <v>1</v>
      </c>
      <c r="N18" s="118">
        <f t="shared" si="0"/>
        <v>6</v>
      </c>
      <c r="O18" s="193" t="s">
        <v>275</v>
      </c>
    </row>
    <row r="19" spans="1:15" ht="19.5" customHeight="1" thickBot="1">
      <c r="A19" s="398" t="s">
        <v>19</v>
      </c>
      <c r="B19" s="399">
        <v>0</v>
      </c>
      <c r="C19" s="399">
        <v>0</v>
      </c>
      <c r="D19" s="399">
        <v>0</v>
      </c>
      <c r="E19" s="399">
        <v>0</v>
      </c>
      <c r="F19" s="399">
        <v>0</v>
      </c>
      <c r="G19" s="399">
        <v>0</v>
      </c>
      <c r="H19" s="399">
        <v>0</v>
      </c>
      <c r="I19" s="399">
        <v>0</v>
      </c>
      <c r="J19" s="399">
        <v>0</v>
      </c>
      <c r="K19" s="399">
        <v>0</v>
      </c>
      <c r="L19" s="399">
        <v>0</v>
      </c>
      <c r="M19" s="399">
        <v>0</v>
      </c>
      <c r="N19" s="118">
        <f t="shared" si="0"/>
        <v>0</v>
      </c>
      <c r="O19" s="400" t="s">
        <v>20</v>
      </c>
    </row>
    <row r="20" spans="1:15" ht="19.5" customHeight="1">
      <c r="A20" s="196" t="s">
        <v>21</v>
      </c>
      <c r="B20" s="197">
        <f t="shared" ref="B20:N20" si="1">SUM(B9:B19)</f>
        <v>182</v>
      </c>
      <c r="C20" s="197">
        <f t="shared" si="1"/>
        <v>68</v>
      </c>
      <c r="D20" s="197">
        <f t="shared" si="1"/>
        <v>79</v>
      </c>
      <c r="E20" s="197">
        <f t="shared" si="1"/>
        <v>61</v>
      </c>
      <c r="F20" s="197">
        <f t="shared" si="1"/>
        <v>36</v>
      </c>
      <c r="G20" s="197">
        <f t="shared" si="1"/>
        <v>32</v>
      </c>
      <c r="H20" s="197">
        <f t="shared" si="1"/>
        <v>92</v>
      </c>
      <c r="I20" s="197">
        <f t="shared" si="1"/>
        <v>63</v>
      </c>
      <c r="J20" s="197">
        <f t="shared" si="1"/>
        <v>28</v>
      </c>
      <c r="K20" s="197">
        <f t="shared" si="1"/>
        <v>18</v>
      </c>
      <c r="L20" s="197">
        <f t="shared" si="1"/>
        <v>39</v>
      </c>
      <c r="M20" s="197">
        <f t="shared" si="1"/>
        <v>8</v>
      </c>
      <c r="N20" s="198">
        <f t="shared" si="1"/>
        <v>706</v>
      </c>
      <c r="O20" s="199" t="s">
        <v>176</v>
      </c>
    </row>
    <row r="21" spans="1:15">
      <c r="A21" s="151" t="s">
        <v>557</v>
      </c>
      <c r="O21" s="134" t="s">
        <v>556</v>
      </c>
    </row>
    <row r="22" spans="1:15">
      <c r="A22" s="151"/>
      <c r="O22" s="134"/>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rightToLeft="1" view="pageBreakPreview" zoomScaleNormal="100" zoomScaleSheetLayoutView="100" workbookViewId="0">
      <selection activeCell="A3" sqref="A3:O3"/>
    </sheetView>
  </sheetViews>
  <sheetFormatPr defaultColWidth="9.140625" defaultRowHeight="12.75"/>
  <cols>
    <col min="1" max="1" width="20" style="1" customWidth="1"/>
    <col min="2" max="2" width="13" style="1" customWidth="1"/>
    <col min="3" max="12" width="7.140625" style="1" customWidth="1"/>
    <col min="13" max="13" width="11.42578125" style="1" customWidth="1"/>
    <col min="14" max="14" width="9.85546875" style="1" customWidth="1"/>
    <col min="15" max="15" width="18.85546875" style="1" customWidth="1"/>
    <col min="16" max="16384" width="9.140625" style="1"/>
  </cols>
  <sheetData>
    <row r="1" spans="1:15" ht="24" customHeight="1">
      <c r="A1" s="974" t="s">
        <v>564</v>
      </c>
      <c r="B1" s="974"/>
      <c r="C1" s="974"/>
      <c r="D1" s="974"/>
      <c r="E1" s="974"/>
      <c r="F1" s="974"/>
      <c r="G1" s="974"/>
      <c r="H1" s="974"/>
      <c r="I1" s="974"/>
      <c r="J1" s="974"/>
      <c r="K1" s="974"/>
      <c r="L1" s="974"/>
      <c r="M1" s="974"/>
      <c r="N1" s="974"/>
      <c r="O1" s="974"/>
    </row>
    <row r="2" spans="1:15" ht="15.75" customHeight="1">
      <c r="A2" s="983" t="s">
        <v>563</v>
      </c>
      <c r="B2" s="983"/>
      <c r="C2" s="983"/>
      <c r="D2" s="983"/>
      <c r="E2" s="983"/>
      <c r="F2" s="983"/>
      <c r="G2" s="983"/>
      <c r="H2" s="983"/>
      <c r="I2" s="983"/>
      <c r="J2" s="983"/>
      <c r="K2" s="983"/>
      <c r="L2" s="983"/>
      <c r="M2" s="983"/>
      <c r="N2" s="983"/>
      <c r="O2" s="983"/>
    </row>
    <row r="3" spans="1:15" ht="15.75" customHeight="1">
      <c r="A3" s="983">
        <v>2015</v>
      </c>
      <c r="B3" s="983"/>
      <c r="C3" s="983"/>
      <c r="D3" s="983"/>
      <c r="E3" s="983"/>
      <c r="F3" s="983"/>
      <c r="G3" s="983"/>
      <c r="H3" s="983"/>
      <c r="I3" s="983"/>
      <c r="J3" s="983"/>
      <c r="K3" s="983"/>
      <c r="L3" s="983"/>
      <c r="M3" s="983"/>
      <c r="N3" s="983"/>
      <c r="O3" s="983"/>
    </row>
    <row r="4" spans="1:15" ht="18.75" customHeight="1">
      <c r="A4" s="983" t="s">
        <v>172</v>
      </c>
      <c r="B4" s="983"/>
      <c r="C4" s="983"/>
      <c r="D4" s="983"/>
      <c r="E4" s="983"/>
      <c r="F4" s="983"/>
      <c r="G4" s="983"/>
      <c r="H4" s="983"/>
      <c r="I4" s="983"/>
      <c r="J4" s="983"/>
      <c r="K4" s="983"/>
      <c r="L4" s="983"/>
      <c r="M4" s="983"/>
      <c r="N4" s="983"/>
      <c r="O4" s="983"/>
    </row>
    <row r="5" spans="1:15" ht="18.75" customHeight="1">
      <c r="A5" s="647"/>
      <c r="B5" s="647"/>
      <c r="C5" s="647"/>
      <c r="D5" s="647"/>
      <c r="E5" s="647"/>
      <c r="F5" s="647"/>
      <c r="G5" s="647"/>
      <c r="H5" s="647"/>
      <c r="I5" s="647"/>
      <c r="J5" s="647"/>
      <c r="K5" s="647"/>
      <c r="L5" s="647"/>
      <c r="M5" s="647"/>
      <c r="N5" s="647"/>
      <c r="O5" s="647"/>
    </row>
    <row r="6" spans="1:15" s="93" customFormat="1" ht="16.5">
      <c r="A6" s="636" t="s">
        <v>809</v>
      </c>
      <c r="B6" s="637"/>
      <c r="C6" s="637"/>
      <c r="D6" s="637"/>
      <c r="E6" s="637"/>
      <c r="F6" s="637"/>
      <c r="G6" s="637"/>
      <c r="H6" s="637"/>
      <c r="I6" s="637"/>
      <c r="J6" s="637"/>
      <c r="K6" s="637"/>
      <c r="L6" s="637"/>
      <c r="M6" s="638"/>
      <c r="N6" s="643"/>
      <c r="O6" s="643" t="s">
        <v>810</v>
      </c>
    </row>
    <row r="7" spans="1:15" ht="27.75" customHeight="1" thickBot="1">
      <c r="A7" s="970" t="s">
        <v>524</v>
      </c>
      <c r="B7" s="1056" t="s">
        <v>562</v>
      </c>
      <c r="C7" s="1053"/>
      <c r="D7" s="1053"/>
      <c r="E7" s="1053"/>
      <c r="F7" s="1053"/>
      <c r="G7" s="1053"/>
      <c r="H7" s="1053"/>
      <c r="I7" s="1053"/>
      <c r="J7" s="1053"/>
      <c r="K7" s="1053"/>
      <c r="L7" s="1053"/>
      <c r="M7" s="1053"/>
      <c r="N7" s="1053"/>
      <c r="O7" s="972" t="s">
        <v>522</v>
      </c>
    </row>
    <row r="8" spans="1:15" ht="42.75" customHeight="1">
      <c r="A8" s="977"/>
      <c r="B8" s="582" t="s">
        <v>558</v>
      </c>
      <c r="C8" s="590">
        <v>-1</v>
      </c>
      <c r="D8" s="590">
        <v>1</v>
      </c>
      <c r="E8" s="590">
        <v>2</v>
      </c>
      <c r="F8" s="590">
        <v>3</v>
      </c>
      <c r="G8" s="590">
        <v>4</v>
      </c>
      <c r="H8" s="590" t="s">
        <v>534</v>
      </c>
      <c r="I8" s="590" t="s">
        <v>532</v>
      </c>
      <c r="J8" s="590" t="s">
        <v>530</v>
      </c>
      <c r="K8" s="590" t="s">
        <v>311</v>
      </c>
      <c r="L8" s="590" t="s">
        <v>529</v>
      </c>
      <c r="M8" s="591" t="s">
        <v>8</v>
      </c>
      <c r="N8" s="591" t="s">
        <v>256</v>
      </c>
      <c r="O8" s="978"/>
    </row>
    <row r="9" spans="1:15" ht="19.5" customHeight="1" thickBot="1">
      <c r="A9" s="85" t="s">
        <v>751</v>
      </c>
      <c r="B9" s="84">
        <v>11</v>
      </c>
      <c r="C9" s="84">
        <v>2</v>
      </c>
      <c r="D9" s="84">
        <v>4</v>
      </c>
      <c r="E9" s="84">
        <v>1</v>
      </c>
      <c r="F9" s="84">
        <v>2</v>
      </c>
      <c r="G9" s="84">
        <v>0</v>
      </c>
      <c r="H9" s="84">
        <v>1</v>
      </c>
      <c r="I9" s="84">
        <v>0</v>
      </c>
      <c r="J9" s="84">
        <v>0</v>
      </c>
      <c r="K9" s="84">
        <v>0</v>
      </c>
      <c r="L9" s="84">
        <v>0</v>
      </c>
      <c r="M9" s="84">
        <v>0</v>
      </c>
      <c r="N9" s="118">
        <f>SUM(B9:M9)</f>
        <v>21</v>
      </c>
      <c r="O9" s="82" t="s">
        <v>751</v>
      </c>
    </row>
    <row r="10" spans="1:15" ht="19.5" customHeight="1" thickBot="1">
      <c r="A10" s="192" t="s">
        <v>269</v>
      </c>
      <c r="B10" s="396">
        <v>34</v>
      </c>
      <c r="C10" s="396">
        <v>13</v>
      </c>
      <c r="D10" s="396">
        <v>13</v>
      </c>
      <c r="E10" s="396">
        <v>11</v>
      </c>
      <c r="F10" s="396">
        <v>8</v>
      </c>
      <c r="G10" s="396">
        <v>6</v>
      </c>
      <c r="H10" s="396">
        <v>7</v>
      </c>
      <c r="I10" s="396">
        <v>0</v>
      </c>
      <c r="J10" s="396">
        <v>0</v>
      </c>
      <c r="K10" s="396">
        <v>0</v>
      </c>
      <c r="L10" s="396">
        <v>0</v>
      </c>
      <c r="M10" s="396">
        <v>0</v>
      </c>
      <c r="N10" s="118">
        <f t="shared" ref="N10:N19" si="0">SUM(B10:M10)</f>
        <v>92</v>
      </c>
      <c r="O10" s="193" t="s">
        <v>269</v>
      </c>
    </row>
    <row r="11" spans="1:15" ht="19.5" customHeight="1" thickBot="1">
      <c r="A11" s="192" t="s">
        <v>268</v>
      </c>
      <c r="B11" s="396">
        <v>46</v>
      </c>
      <c r="C11" s="396">
        <v>16</v>
      </c>
      <c r="D11" s="396">
        <v>19</v>
      </c>
      <c r="E11" s="396">
        <v>19</v>
      </c>
      <c r="F11" s="396">
        <v>18</v>
      </c>
      <c r="G11" s="396">
        <v>12</v>
      </c>
      <c r="H11" s="396">
        <v>33</v>
      </c>
      <c r="I11" s="396">
        <v>3</v>
      </c>
      <c r="J11" s="396">
        <v>0</v>
      </c>
      <c r="K11" s="396">
        <v>0</v>
      </c>
      <c r="L11" s="396">
        <v>0</v>
      </c>
      <c r="M11" s="396">
        <v>6</v>
      </c>
      <c r="N11" s="118">
        <f t="shared" si="0"/>
        <v>172</v>
      </c>
      <c r="O11" s="193" t="s">
        <v>268</v>
      </c>
    </row>
    <row r="12" spans="1:15" ht="19.5" customHeight="1" thickBot="1">
      <c r="A12" s="192" t="s">
        <v>267</v>
      </c>
      <c r="B12" s="396">
        <v>13</v>
      </c>
      <c r="C12" s="396">
        <v>17</v>
      </c>
      <c r="D12" s="396">
        <v>12</v>
      </c>
      <c r="E12" s="396">
        <v>10</v>
      </c>
      <c r="F12" s="396">
        <v>6</v>
      </c>
      <c r="G12" s="396">
        <v>9</v>
      </c>
      <c r="H12" s="396">
        <v>37</v>
      </c>
      <c r="I12" s="396">
        <v>17</v>
      </c>
      <c r="J12" s="396">
        <v>3</v>
      </c>
      <c r="K12" s="396">
        <v>0</v>
      </c>
      <c r="L12" s="396">
        <v>0</v>
      </c>
      <c r="M12" s="396">
        <v>4</v>
      </c>
      <c r="N12" s="118">
        <f t="shared" si="0"/>
        <v>128</v>
      </c>
      <c r="O12" s="193" t="s">
        <v>267</v>
      </c>
    </row>
    <row r="13" spans="1:15" ht="19.5" customHeight="1" thickBot="1">
      <c r="A13" s="192" t="s">
        <v>266</v>
      </c>
      <c r="B13" s="396">
        <v>8</v>
      </c>
      <c r="C13" s="396">
        <v>12</v>
      </c>
      <c r="D13" s="396">
        <v>14</v>
      </c>
      <c r="E13" s="396">
        <v>5</v>
      </c>
      <c r="F13" s="396">
        <v>4</v>
      </c>
      <c r="G13" s="396">
        <v>4</v>
      </c>
      <c r="H13" s="396">
        <v>20</v>
      </c>
      <c r="I13" s="396">
        <v>16</v>
      </c>
      <c r="J13" s="396">
        <v>12</v>
      </c>
      <c r="K13" s="396">
        <v>0</v>
      </c>
      <c r="L13" s="396">
        <v>0</v>
      </c>
      <c r="M13" s="396">
        <v>3</v>
      </c>
      <c r="N13" s="118">
        <f t="shared" si="0"/>
        <v>98</v>
      </c>
      <c r="O13" s="193" t="s">
        <v>266</v>
      </c>
    </row>
    <row r="14" spans="1:15" ht="19.5" customHeight="1" thickBot="1">
      <c r="A14" s="192" t="s">
        <v>265</v>
      </c>
      <c r="B14" s="396">
        <v>0</v>
      </c>
      <c r="C14" s="396">
        <v>5</v>
      </c>
      <c r="D14" s="396">
        <v>3</v>
      </c>
      <c r="E14" s="396">
        <v>4</v>
      </c>
      <c r="F14" s="396">
        <v>3</v>
      </c>
      <c r="G14" s="396">
        <v>1</v>
      </c>
      <c r="H14" s="396">
        <v>4</v>
      </c>
      <c r="I14" s="396">
        <v>3</v>
      </c>
      <c r="J14" s="396">
        <v>9</v>
      </c>
      <c r="K14" s="396">
        <v>3</v>
      </c>
      <c r="L14" s="396">
        <v>0</v>
      </c>
      <c r="M14" s="396">
        <v>0</v>
      </c>
      <c r="N14" s="118">
        <f t="shared" si="0"/>
        <v>35</v>
      </c>
      <c r="O14" s="193" t="s">
        <v>265</v>
      </c>
    </row>
    <row r="15" spans="1:15" ht="19.5" customHeight="1" thickBot="1">
      <c r="A15" s="192" t="s">
        <v>264</v>
      </c>
      <c r="B15" s="396">
        <v>1</v>
      </c>
      <c r="C15" s="396">
        <v>4</v>
      </c>
      <c r="D15" s="396">
        <v>4</v>
      </c>
      <c r="E15" s="396">
        <v>2</v>
      </c>
      <c r="F15" s="396">
        <v>1</v>
      </c>
      <c r="G15" s="396">
        <v>0</v>
      </c>
      <c r="H15" s="396">
        <v>5</v>
      </c>
      <c r="I15" s="396">
        <v>2</v>
      </c>
      <c r="J15" s="396">
        <v>6</v>
      </c>
      <c r="K15" s="396">
        <v>0</v>
      </c>
      <c r="L15" s="396">
        <v>0</v>
      </c>
      <c r="M15" s="396">
        <v>1</v>
      </c>
      <c r="N15" s="118">
        <f t="shared" si="0"/>
        <v>26</v>
      </c>
      <c r="O15" s="193" t="s">
        <v>264</v>
      </c>
    </row>
    <row r="16" spans="1:15" ht="19.5" customHeight="1" thickBot="1">
      <c r="A16" s="192" t="s">
        <v>263</v>
      </c>
      <c r="B16" s="396">
        <v>1</v>
      </c>
      <c r="C16" s="396">
        <v>3</v>
      </c>
      <c r="D16" s="396">
        <v>2</v>
      </c>
      <c r="E16" s="396">
        <v>1</v>
      </c>
      <c r="F16" s="396">
        <v>3</v>
      </c>
      <c r="G16" s="396">
        <v>0</v>
      </c>
      <c r="H16" s="396">
        <v>2</v>
      </c>
      <c r="I16" s="396">
        <v>0</v>
      </c>
      <c r="J16" s="396">
        <v>1</v>
      </c>
      <c r="K16" s="396">
        <v>2</v>
      </c>
      <c r="L16" s="396">
        <v>2</v>
      </c>
      <c r="M16" s="396">
        <v>0</v>
      </c>
      <c r="N16" s="118">
        <f t="shared" si="0"/>
        <v>17</v>
      </c>
      <c r="O16" s="193" t="s">
        <v>263</v>
      </c>
    </row>
    <row r="17" spans="1:15" ht="19.5" customHeight="1" thickBot="1">
      <c r="A17" s="192" t="s">
        <v>262</v>
      </c>
      <c r="B17" s="396">
        <v>0</v>
      </c>
      <c r="C17" s="396">
        <v>1</v>
      </c>
      <c r="D17" s="396">
        <v>0</v>
      </c>
      <c r="E17" s="396">
        <v>0</v>
      </c>
      <c r="F17" s="396">
        <v>0</v>
      </c>
      <c r="G17" s="396">
        <v>0</v>
      </c>
      <c r="H17" s="396">
        <v>2</v>
      </c>
      <c r="I17" s="396">
        <v>2</v>
      </c>
      <c r="J17" s="396">
        <v>0</v>
      </c>
      <c r="K17" s="396">
        <v>1</v>
      </c>
      <c r="L17" s="396">
        <v>3</v>
      </c>
      <c r="M17" s="396">
        <v>0</v>
      </c>
      <c r="N17" s="118">
        <f t="shared" si="0"/>
        <v>9</v>
      </c>
      <c r="O17" s="193" t="s">
        <v>262</v>
      </c>
    </row>
    <row r="18" spans="1:15" ht="19.5" customHeight="1" thickBot="1">
      <c r="A18" s="192" t="s">
        <v>275</v>
      </c>
      <c r="B18" s="396">
        <v>0</v>
      </c>
      <c r="C18" s="396">
        <v>0</v>
      </c>
      <c r="D18" s="396">
        <v>0</v>
      </c>
      <c r="E18" s="396">
        <v>0</v>
      </c>
      <c r="F18" s="396">
        <v>0</v>
      </c>
      <c r="G18" s="396">
        <v>1</v>
      </c>
      <c r="H18" s="396">
        <v>0</v>
      </c>
      <c r="I18" s="396">
        <v>0</v>
      </c>
      <c r="J18" s="396">
        <v>0</v>
      </c>
      <c r="K18" s="396">
        <v>0</v>
      </c>
      <c r="L18" s="396">
        <v>2</v>
      </c>
      <c r="M18" s="396">
        <v>0</v>
      </c>
      <c r="N18" s="118">
        <f t="shared" si="0"/>
        <v>3</v>
      </c>
      <c r="O18" s="193" t="s">
        <v>275</v>
      </c>
    </row>
    <row r="19" spans="1:15" ht="19.5" customHeight="1" thickBot="1">
      <c r="A19" s="398" t="s">
        <v>19</v>
      </c>
      <c r="B19" s="399">
        <v>0</v>
      </c>
      <c r="C19" s="399">
        <v>0</v>
      </c>
      <c r="D19" s="399">
        <v>0</v>
      </c>
      <c r="E19" s="399">
        <v>0</v>
      </c>
      <c r="F19" s="399">
        <v>0</v>
      </c>
      <c r="G19" s="399">
        <v>0</v>
      </c>
      <c r="H19" s="399">
        <v>0</v>
      </c>
      <c r="I19" s="399">
        <v>0</v>
      </c>
      <c r="J19" s="399">
        <v>0</v>
      </c>
      <c r="K19" s="399">
        <v>0</v>
      </c>
      <c r="L19" s="399">
        <v>0</v>
      </c>
      <c r="M19" s="399">
        <v>0</v>
      </c>
      <c r="N19" s="118">
        <f t="shared" si="0"/>
        <v>0</v>
      </c>
      <c r="O19" s="400" t="s">
        <v>20</v>
      </c>
    </row>
    <row r="20" spans="1:15" ht="19.5" customHeight="1">
      <c r="A20" s="196" t="s">
        <v>21</v>
      </c>
      <c r="B20" s="197">
        <f t="shared" ref="B20:N20" si="1">SUM(B9:B19)</f>
        <v>114</v>
      </c>
      <c r="C20" s="197">
        <f t="shared" si="1"/>
        <v>73</v>
      </c>
      <c r="D20" s="197">
        <f t="shared" si="1"/>
        <v>71</v>
      </c>
      <c r="E20" s="197">
        <f t="shared" si="1"/>
        <v>53</v>
      </c>
      <c r="F20" s="197">
        <f t="shared" si="1"/>
        <v>45</v>
      </c>
      <c r="G20" s="197">
        <f t="shared" si="1"/>
        <v>33</v>
      </c>
      <c r="H20" s="197">
        <f t="shared" si="1"/>
        <v>111</v>
      </c>
      <c r="I20" s="197">
        <f t="shared" si="1"/>
        <v>43</v>
      </c>
      <c r="J20" s="197">
        <f t="shared" si="1"/>
        <v>31</v>
      </c>
      <c r="K20" s="197">
        <f t="shared" si="1"/>
        <v>6</v>
      </c>
      <c r="L20" s="197">
        <f t="shared" si="1"/>
        <v>7</v>
      </c>
      <c r="M20" s="197">
        <f t="shared" si="1"/>
        <v>14</v>
      </c>
      <c r="N20" s="198">
        <f t="shared" si="1"/>
        <v>601</v>
      </c>
      <c r="O20" s="199" t="s">
        <v>176</v>
      </c>
    </row>
    <row r="21" spans="1:15">
      <c r="A21" s="151" t="s">
        <v>557</v>
      </c>
      <c r="O21" s="134" t="s">
        <v>556</v>
      </c>
    </row>
    <row r="22" spans="1:15">
      <c r="A22" s="151"/>
      <c r="O22" s="134"/>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rightToLeft="1" view="pageBreakPreview" zoomScaleNormal="100" zoomScaleSheetLayoutView="100" workbookViewId="0">
      <selection activeCell="A3" sqref="A3:O3"/>
    </sheetView>
  </sheetViews>
  <sheetFormatPr defaultColWidth="9.140625" defaultRowHeight="12.75"/>
  <cols>
    <col min="1" max="1" width="20" style="1" customWidth="1"/>
    <col min="2" max="2" width="13" style="1" customWidth="1"/>
    <col min="3" max="12" width="7.140625" style="1" customWidth="1"/>
    <col min="13" max="13" width="11.42578125" style="1" customWidth="1"/>
    <col min="14" max="14" width="9.85546875" style="1" customWidth="1"/>
    <col min="15" max="15" width="18.85546875" style="1" customWidth="1"/>
    <col min="16" max="16384" width="9.140625" style="1"/>
  </cols>
  <sheetData>
    <row r="1" spans="1:15" ht="24" customHeight="1">
      <c r="A1" s="974" t="s">
        <v>564</v>
      </c>
      <c r="B1" s="974"/>
      <c r="C1" s="974"/>
      <c r="D1" s="974"/>
      <c r="E1" s="974"/>
      <c r="F1" s="974"/>
      <c r="G1" s="974"/>
      <c r="H1" s="974"/>
      <c r="I1" s="974"/>
      <c r="J1" s="974"/>
      <c r="K1" s="974"/>
      <c r="L1" s="974"/>
      <c r="M1" s="974"/>
      <c r="N1" s="974"/>
      <c r="O1" s="974"/>
    </row>
    <row r="2" spans="1:15" ht="15.75" customHeight="1">
      <c r="A2" s="983" t="s">
        <v>563</v>
      </c>
      <c r="B2" s="983"/>
      <c r="C2" s="983"/>
      <c r="D2" s="983"/>
      <c r="E2" s="983"/>
      <c r="F2" s="983"/>
      <c r="G2" s="983"/>
      <c r="H2" s="983"/>
      <c r="I2" s="983"/>
      <c r="J2" s="983"/>
      <c r="K2" s="983"/>
      <c r="L2" s="983"/>
      <c r="M2" s="983"/>
      <c r="N2" s="983"/>
      <c r="O2" s="983"/>
    </row>
    <row r="3" spans="1:15" ht="15.75" customHeight="1">
      <c r="A3" s="983">
        <v>2015</v>
      </c>
      <c r="B3" s="983"/>
      <c r="C3" s="983"/>
      <c r="D3" s="983"/>
      <c r="E3" s="983"/>
      <c r="F3" s="983"/>
      <c r="G3" s="983"/>
      <c r="H3" s="983"/>
      <c r="I3" s="983"/>
      <c r="J3" s="983"/>
      <c r="K3" s="983"/>
      <c r="L3" s="983"/>
      <c r="M3" s="983"/>
      <c r="N3" s="983"/>
      <c r="O3" s="983"/>
    </row>
    <row r="4" spans="1:15" ht="18.75" customHeight="1">
      <c r="A4" s="983" t="s">
        <v>1</v>
      </c>
      <c r="B4" s="983"/>
      <c r="C4" s="983"/>
      <c r="D4" s="983"/>
      <c r="E4" s="983"/>
      <c r="F4" s="983"/>
      <c r="G4" s="983"/>
      <c r="H4" s="983"/>
      <c r="I4" s="983"/>
      <c r="J4" s="983"/>
      <c r="K4" s="983"/>
      <c r="L4" s="983"/>
      <c r="M4" s="983"/>
      <c r="N4" s="983"/>
      <c r="O4" s="983"/>
    </row>
    <row r="5" spans="1:15" ht="18.75" customHeight="1">
      <c r="A5" s="647"/>
      <c r="B5" s="647"/>
      <c r="C5" s="647"/>
      <c r="D5" s="647"/>
      <c r="E5" s="647"/>
      <c r="F5" s="647"/>
      <c r="G5" s="647"/>
      <c r="H5" s="647"/>
      <c r="I5" s="647"/>
      <c r="J5" s="647"/>
      <c r="K5" s="647"/>
      <c r="L5" s="647"/>
      <c r="M5" s="647"/>
      <c r="N5" s="647"/>
      <c r="O5" s="647"/>
    </row>
    <row r="6" spans="1:15" s="93" customFormat="1" ht="16.5">
      <c r="A6" s="636" t="s">
        <v>807</v>
      </c>
      <c r="B6" s="637"/>
      <c r="C6" s="637"/>
      <c r="D6" s="637"/>
      <c r="E6" s="637"/>
      <c r="F6" s="637"/>
      <c r="G6" s="637"/>
      <c r="H6" s="637"/>
      <c r="I6" s="637"/>
      <c r="J6" s="637"/>
      <c r="K6" s="637"/>
      <c r="L6" s="637"/>
      <c r="M6" s="638"/>
      <c r="N6" s="643"/>
      <c r="O6" s="643" t="s">
        <v>808</v>
      </c>
    </row>
    <row r="7" spans="1:15" ht="27.75" customHeight="1" thickBot="1">
      <c r="A7" s="970" t="s">
        <v>524</v>
      </c>
      <c r="B7" s="1056" t="s">
        <v>562</v>
      </c>
      <c r="C7" s="1053"/>
      <c r="D7" s="1053"/>
      <c r="E7" s="1053"/>
      <c r="F7" s="1053"/>
      <c r="G7" s="1053"/>
      <c r="H7" s="1053"/>
      <c r="I7" s="1053"/>
      <c r="J7" s="1053"/>
      <c r="K7" s="1053"/>
      <c r="L7" s="1053"/>
      <c r="M7" s="1053"/>
      <c r="N7" s="1053"/>
      <c r="O7" s="972" t="s">
        <v>522</v>
      </c>
    </row>
    <row r="8" spans="1:15" ht="42.75" customHeight="1">
      <c r="A8" s="977"/>
      <c r="B8" s="582" t="s">
        <v>558</v>
      </c>
      <c r="C8" s="590">
        <v>-1</v>
      </c>
      <c r="D8" s="590">
        <v>1</v>
      </c>
      <c r="E8" s="590">
        <v>2</v>
      </c>
      <c r="F8" s="590">
        <v>3</v>
      </c>
      <c r="G8" s="590">
        <v>4</v>
      </c>
      <c r="H8" s="590" t="s">
        <v>534</v>
      </c>
      <c r="I8" s="590" t="s">
        <v>532</v>
      </c>
      <c r="J8" s="590" t="s">
        <v>530</v>
      </c>
      <c r="K8" s="590" t="s">
        <v>311</v>
      </c>
      <c r="L8" s="590" t="s">
        <v>529</v>
      </c>
      <c r="M8" s="591" t="s">
        <v>8</v>
      </c>
      <c r="N8" s="591" t="s">
        <v>256</v>
      </c>
      <c r="O8" s="978"/>
    </row>
    <row r="9" spans="1:15" ht="19.5" customHeight="1" thickBot="1">
      <c r="A9" s="85" t="s">
        <v>751</v>
      </c>
      <c r="B9" s="84">
        <v>30</v>
      </c>
      <c r="C9" s="84">
        <v>3</v>
      </c>
      <c r="D9" s="84">
        <v>10</v>
      </c>
      <c r="E9" s="84">
        <v>3</v>
      </c>
      <c r="F9" s="84">
        <v>4</v>
      </c>
      <c r="G9" s="84">
        <v>1</v>
      </c>
      <c r="H9" s="84">
        <v>1</v>
      </c>
      <c r="I9" s="84">
        <v>0</v>
      </c>
      <c r="J9" s="84">
        <v>0</v>
      </c>
      <c r="K9" s="84">
        <v>0</v>
      </c>
      <c r="L9" s="84">
        <v>0</v>
      </c>
      <c r="M9" s="84">
        <v>0</v>
      </c>
      <c r="N9" s="118">
        <f>SUM(B9:M9)</f>
        <v>52</v>
      </c>
      <c r="O9" s="82" t="s">
        <v>751</v>
      </c>
    </row>
    <row r="10" spans="1:15" ht="19.5" customHeight="1" thickBot="1">
      <c r="A10" s="192" t="s">
        <v>269</v>
      </c>
      <c r="B10" s="396">
        <v>110</v>
      </c>
      <c r="C10" s="396">
        <v>33</v>
      </c>
      <c r="D10" s="396">
        <v>48</v>
      </c>
      <c r="E10" s="396">
        <v>35</v>
      </c>
      <c r="F10" s="396">
        <v>20</v>
      </c>
      <c r="G10" s="396">
        <v>12</v>
      </c>
      <c r="H10" s="396">
        <v>15</v>
      </c>
      <c r="I10" s="396">
        <v>0</v>
      </c>
      <c r="J10" s="396">
        <v>0</v>
      </c>
      <c r="K10" s="396">
        <v>0</v>
      </c>
      <c r="L10" s="396">
        <v>0</v>
      </c>
      <c r="M10" s="396">
        <v>1</v>
      </c>
      <c r="N10" s="118">
        <f t="shared" ref="N10:N19" si="0">SUM(B10:M10)</f>
        <v>274</v>
      </c>
      <c r="O10" s="193" t="s">
        <v>269</v>
      </c>
    </row>
    <row r="11" spans="1:15" ht="19.5" customHeight="1" thickBot="1">
      <c r="A11" s="192" t="s">
        <v>268</v>
      </c>
      <c r="B11" s="396">
        <v>100</v>
      </c>
      <c r="C11" s="396">
        <v>34</v>
      </c>
      <c r="D11" s="396">
        <v>40</v>
      </c>
      <c r="E11" s="396">
        <v>36</v>
      </c>
      <c r="F11" s="396">
        <v>33</v>
      </c>
      <c r="G11" s="396">
        <v>26</v>
      </c>
      <c r="H11" s="396">
        <v>69</v>
      </c>
      <c r="I11" s="396">
        <v>8</v>
      </c>
      <c r="J11" s="396">
        <v>0</v>
      </c>
      <c r="K11" s="396">
        <v>0</v>
      </c>
      <c r="L11" s="396">
        <v>0</v>
      </c>
      <c r="M11" s="396">
        <v>6</v>
      </c>
      <c r="N11" s="118">
        <f t="shared" si="0"/>
        <v>352</v>
      </c>
      <c r="O11" s="193" t="s">
        <v>268</v>
      </c>
    </row>
    <row r="12" spans="1:15" ht="19.5" customHeight="1" thickBot="1">
      <c r="A12" s="192" t="s">
        <v>267</v>
      </c>
      <c r="B12" s="396">
        <v>33</v>
      </c>
      <c r="C12" s="396">
        <v>26</v>
      </c>
      <c r="D12" s="396">
        <v>17</v>
      </c>
      <c r="E12" s="396">
        <v>17</v>
      </c>
      <c r="F12" s="396">
        <v>10</v>
      </c>
      <c r="G12" s="396">
        <v>16</v>
      </c>
      <c r="H12" s="396">
        <v>56</v>
      </c>
      <c r="I12" s="396">
        <v>46</v>
      </c>
      <c r="J12" s="396">
        <v>7</v>
      </c>
      <c r="K12" s="396">
        <v>0</v>
      </c>
      <c r="L12" s="396">
        <v>0</v>
      </c>
      <c r="M12" s="396">
        <v>4</v>
      </c>
      <c r="N12" s="118">
        <f t="shared" si="0"/>
        <v>232</v>
      </c>
      <c r="O12" s="193" t="s">
        <v>267</v>
      </c>
    </row>
    <row r="13" spans="1:15" ht="19.5" customHeight="1" thickBot="1">
      <c r="A13" s="192" t="s">
        <v>266</v>
      </c>
      <c r="B13" s="396">
        <v>14</v>
      </c>
      <c r="C13" s="396">
        <v>20</v>
      </c>
      <c r="D13" s="396">
        <v>19</v>
      </c>
      <c r="E13" s="396">
        <v>10</v>
      </c>
      <c r="F13" s="396">
        <v>6</v>
      </c>
      <c r="G13" s="396">
        <v>5</v>
      </c>
      <c r="H13" s="396">
        <v>33</v>
      </c>
      <c r="I13" s="396">
        <v>33</v>
      </c>
      <c r="J13" s="396">
        <v>26</v>
      </c>
      <c r="K13" s="396">
        <v>1</v>
      </c>
      <c r="L13" s="396">
        <v>0</v>
      </c>
      <c r="M13" s="396">
        <v>5</v>
      </c>
      <c r="N13" s="118">
        <f t="shared" si="0"/>
        <v>172</v>
      </c>
      <c r="O13" s="193" t="s">
        <v>266</v>
      </c>
    </row>
    <row r="14" spans="1:15" ht="19.5" customHeight="1" thickBot="1">
      <c r="A14" s="192" t="s">
        <v>265</v>
      </c>
      <c r="B14" s="396">
        <v>6</v>
      </c>
      <c r="C14" s="396">
        <v>10</v>
      </c>
      <c r="D14" s="396">
        <v>6</v>
      </c>
      <c r="E14" s="396">
        <v>7</v>
      </c>
      <c r="F14" s="396">
        <v>3</v>
      </c>
      <c r="G14" s="396">
        <v>3</v>
      </c>
      <c r="H14" s="396">
        <v>15</v>
      </c>
      <c r="I14" s="396">
        <v>6</v>
      </c>
      <c r="J14" s="396">
        <v>13</v>
      </c>
      <c r="K14" s="396">
        <v>9</v>
      </c>
      <c r="L14" s="396">
        <v>1</v>
      </c>
      <c r="M14" s="396">
        <v>2</v>
      </c>
      <c r="N14" s="118">
        <f t="shared" si="0"/>
        <v>81</v>
      </c>
      <c r="O14" s="193" t="s">
        <v>265</v>
      </c>
    </row>
    <row r="15" spans="1:15" ht="19.5" customHeight="1" thickBot="1">
      <c r="A15" s="192" t="s">
        <v>264</v>
      </c>
      <c r="B15" s="396">
        <v>2</v>
      </c>
      <c r="C15" s="396">
        <v>8</v>
      </c>
      <c r="D15" s="396">
        <v>8</v>
      </c>
      <c r="E15" s="396">
        <v>3</v>
      </c>
      <c r="F15" s="396">
        <v>2</v>
      </c>
      <c r="G15" s="396">
        <v>1</v>
      </c>
      <c r="H15" s="396">
        <v>8</v>
      </c>
      <c r="I15" s="396">
        <v>8</v>
      </c>
      <c r="J15" s="396">
        <v>9</v>
      </c>
      <c r="K15" s="396">
        <v>6</v>
      </c>
      <c r="L15" s="396">
        <v>9</v>
      </c>
      <c r="M15" s="396">
        <v>3</v>
      </c>
      <c r="N15" s="118">
        <f t="shared" si="0"/>
        <v>67</v>
      </c>
      <c r="O15" s="193" t="s">
        <v>264</v>
      </c>
    </row>
    <row r="16" spans="1:15" ht="19.5" customHeight="1" thickBot="1">
      <c r="A16" s="192" t="s">
        <v>263</v>
      </c>
      <c r="B16" s="396">
        <v>1</v>
      </c>
      <c r="C16" s="396">
        <v>4</v>
      </c>
      <c r="D16" s="396">
        <v>2</v>
      </c>
      <c r="E16" s="396">
        <v>3</v>
      </c>
      <c r="F16" s="396">
        <v>3</v>
      </c>
      <c r="G16" s="396">
        <v>0</v>
      </c>
      <c r="H16" s="396">
        <v>4</v>
      </c>
      <c r="I16" s="396">
        <v>2</v>
      </c>
      <c r="J16" s="396">
        <v>3</v>
      </c>
      <c r="K16" s="396">
        <v>6</v>
      </c>
      <c r="L16" s="396">
        <v>11</v>
      </c>
      <c r="M16" s="396">
        <v>0</v>
      </c>
      <c r="N16" s="118">
        <f t="shared" si="0"/>
        <v>39</v>
      </c>
      <c r="O16" s="193" t="s">
        <v>263</v>
      </c>
    </row>
    <row r="17" spans="1:15" ht="19.5" customHeight="1" thickBot="1">
      <c r="A17" s="192" t="s">
        <v>262</v>
      </c>
      <c r="B17" s="396">
        <v>0</v>
      </c>
      <c r="C17" s="396">
        <v>3</v>
      </c>
      <c r="D17" s="396">
        <v>0</v>
      </c>
      <c r="E17" s="396">
        <v>0</v>
      </c>
      <c r="F17" s="396">
        <v>0</v>
      </c>
      <c r="G17" s="396">
        <v>0</v>
      </c>
      <c r="H17" s="396">
        <v>2</v>
      </c>
      <c r="I17" s="396">
        <v>3</v>
      </c>
      <c r="J17" s="396">
        <v>1</v>
      </c>
      <c r="K17" s="396">
        <v>2</v>
      </c>
      <c r="L17" s="396">
        <v>18</v>
      </c>
      <c r="M17" s="396">
        <v>0</v>
      </c>
      <c r="N17" s="118">
        <f t="shared" si="0"/>
        <v>29</v>
      </c>
      <c r="O17" s="193" t="s">
        <v>262</v>
      </c>
    </row>
    <row r="18" spans="1:15" ht="19.5" customHeight="1" thickBot="1">
      <c r="A18" s="192" t="s">
        <v>275</v>
      </c>
      <c r="B18" s="396">
        <v>0</v>
      </c>
      <c r="C18" s="396">
        <v>0</v>
      </c>
      <c r="D18" s="396">
        <v>0</v>
      </c>
      <c r="E18" s="396">
        <v>0</v>
      </c>
      <c r="F18" s="396">
        <v>0</v>
      </c>
      <c r="G18" s="396">
        <v>1</v>
      </c>
      <c r="H18" s="396">
        <v>0</v>
      </c>
      <c r="I18" s="396">
        <v>0</v>
      </c>
      <c r="J18" s="396">
        <v>0</v>
      </c>
      <c r="K18" s="396">
        <v>0</v>
      </c>
      <c r="L18" s="396">
        <v>7</v>
      </c>
      <c r="M18" s="396">
        <v>1</v>
      </c>
      <c r="N18" s="118">
        <f t="shared" si="0"/>
        <v>9</v>
      </c>
      <c r="O18" s="193" t="s">
        <v>275</v>
      </c>
    </row>
    <row r="19" spans="1:15" ht="19.5" customHeight="1" thickBot="1">
      <c r="A19" s="398" t="s">
        <v>19</v>
      </c>
      <c r="B19" s="399">
        <v>0</v>
      </c>
      <c r="C19" s="399">
        <v>0</v>
      </c>
      <c r="D19" s="399">
        <v>0</v>
      </c>
      <c r="E19" s="399">
        <v>0</v>
      </c>
      <c r="F19" s="399">
        <v>0</v>
      </c>
      <c r="G19" s="399">
        <v>0</v>
      </c>
      <c r="H19" s="399">
        <v>0</v>
      </c>
      <c r="I19" s="399">
        <v>0</v>
      </c>
      <c r="J19" s="399">
        <v>0</v>
      </c>
      <c r="K19" s="399">
        <v>0</v>
      </c>
      <c r="L19" s="399">
        <v>0</v>
      </c>
      <c r="M19" s="399">
        <v>0</v>
      </c>
      <c r="N19" s="118">
        <f t="shared" si="0"/>
        <v>0</v>
      </c>
      <c r="O19" s="400" t="s">
        <v>20</v>
      </c>
    </row>
    <row r="20" spans="1:15" ht="19.5" customHeight="1">
      <c r="A20" s="196" t="s">
        <v>21</v>
      </c>
      <c r="B20" s="197">
        <f t="shared" ref="B20:N20" si="1">SUM(B9:B19)</f>
        <v>296</v>
      </c>
      <c r="C20" s="197">
        <f t="shared" si="1"/>
        <v>141</v>
      </c>
      <c r="D20" s="197">
        <f t="shared" si="1"/>
        <v>150</v>
      </c>
      <c r="E20" s="197">
        <f t="shared" si="1"/>
        <v>114</v>
      </c>
      <c r="F20" s="197">
        <f t="shared" si="1"/>
        <v>81</v>
      </c>
      <c r="G20" s="197">
        <f t="shared" si="1"/>
        <v>65</v>
      </c>
      <c r="H20" s="197">
        <f t="shared" si="1"/>
        <v>203</v>
      </c>
      <c r="I20" s="197">
        <f t="shared" si="1"/>
        <v>106</v>
      </c>
      <c r="J20" s="197">
        <f t="shared" si="1"/>
        <v>59</v>
      </c>
      <c r="K20" s="197">
        <f t="shared" si="1"/>
        <v>24</v>
      </c>
      <c r="L20" s="197">
        <f>SUM(L9:L19)</f>
        <v>46</v>
      </c>
      <c r="M20" s="197">
        <f t="shared" si="1"/>
        <v>22</v>
      </c>
      <c r="N20" s="198">
        <f t="shared" si="1"/>
        <v>1307</v>
      </c>
      <c r="O20" s="199" t="s">
        <v>176</v>
      </c>
    </row>
    <row r="21" spans="1:15">
      <c r="A21" s="151" t="s">
        <v>557</v>
      </c>
      <c r="O21" s="134" t="s">
        <v>556</v>
      </c>
    </row>
    <row r="22" spans="1:15">
      <c r="A22" s="151"/>
      <c r="O22" s="134"/>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rightToLeft="1" view="pageBreakPreview" zoomScaleNormal="100" zoomScaleSheetLayoutView="100" workbookViewId="0">
      <selection activeCell="A3" sqref="A3:N3"/>
    </sheetView>
  </sheetViews>
  <sheetFormatPr defaultColWidth="9.140625" defaultRowHeight="12.75"/>
  <cols>
    <col min="1" max="1" width="21" style="1" customWidth="1"/>
    <col min="2" max="11" width="7.5703125" style="1" customWidth="1"/>
    <col min="12" max="12" width="11.140625" style="1" customWidth="1"/>
    <col min="13" max="13" width="13.42578125" style="1" customWidth="1"/>
    <col min="14" max="14" width="19.42578125" style="1" customWidth="1"/>
    <col min="15" max="16384" width="9.140625" style="1"/>
  </cols>
  <sheetData>
    <row r="1" spans="1:18" s="2" customFormat="1" ht="21.75" customHeight="1">
      <c r="A1" s="934" t="s">
        <v>567</v>
      </c>
      <c r="B1" s="934"/>
      <c r="C1" s="934"/>
      <c r="D1" s="934"/>
      <c r="E1" s="934"/>
      <c r="F1" s="934"/>
      <c r="G1" s="934"/>
      <c r="H1" s="934"/>
      <c r="I1" s="934"/>
      <c r="J1" s="934"/>
      <c r="K1" s="934"/>
      <c r="L1" s="934"/>
      <c r="M1" s="934"/>
      <c r="N1" s="934"/>
    </row>
    <row r="2" spans="1:18" s="2" customFormat="1" ht="15.75">
      <c r="A2" s="958" t="s">
        <v>566</v>
      </c>
      <c r="B2" s="958"/>
      <c r="C2" s="958"/>
      <c r="D2" s="958"/>
      <c r="E2" s="958"/>
      <c r="F2" s="958"/>
      <c r="G2" s="958"/>
      <c r="H2" s="958"/>
      <c r="I2" s="958"/>
      <c r="J2" s="958"/>
      <c r="K2" s="958"/>
      <c r="L2" s="958"/>
      <c r="M2" s="958"/>
      <c r="N2" s="958"/>
    </row>
    <row r="3" spans="1:18" s="2" customFormat="1" ht="18" customHeight="1">
      <c r="A3" s="959">
        <v>2015</v>
      </c>
      <c r="B3" s="959"/>
      <c r="C3" s="959"/>
      <c r="D3" s="959"/>
      <c r="E3" s="959"/>
      <c r="F3" s="959"/>
      <c r="G3" s="959"/>
      <c r="H3" s="959"/>
      <c r="I3" s="959"/>
      <c r="J3" s="959"/>
      <c r="K3" s="959"/>
      <c r="L3" s="959"/>
      <c r="M3" s="959"/>
      <c r="N3" s="959"/>
      <c r="O3" s="125"/>
      <c r="P3" s="125"/>
      <c r="Q3" s="125"/>
      <c r="R3" s="125"/>
    </row>
    <row r="4" spans="1:18" s="2" customFormat="1" ht="15.75">
      <c r="A4" s="959" t="s">
        <v>173</v>
      </c>
      <c r="B4" s="959"/>
      <c r="C4" s="959"/>
      <c r="D4" s="959"/>
      <c r="E4" s="959"/>
      <c r="F4" s="959"/>
      <c r="G4" s="959"/>
      <c r="H4" s="959"/>
      <c r="I4" s="959"/>
      <c r="J4" s="959"/>
      <c r="K4" s="959"/>
      <c r="L4" s="959"/>
      <c r="M4" s="959"/>
      <c r="N4" s="959"/>
    </row>
    <row r="5" spans="1:18" s="2" customFormat="1" ht="15.75">
      <c r="A5" s="635"/>
      <c r="B5" s="635"/>
      <c r="C5" s="635"/>
      <c r="D5" s="635"/>
      <c r="E5" s="635"/>
      <c r="F5" s="635"/>
      <c r="G5" s="635"/>
      <c r="H5" s="635"/>
      <c r="I5" s="635"/>
      <c r="J5" s="635"/>
      <c r="K5" s="635"/>
      <c r="L5" s="635"/>
      <c r="M5" s="635"/>
      <c r="N5" s="635"/>
    </row>
    <row r="6" spans="1:18" s="93" customFormat="1" ht="15.75">
      <c r="A6" s="648" t="s">
        <v>813</v>
      </c>
      <c r="B6" s="649"/>
      <c r="C6" s="649"/>
      <c r="D6" s="649"/>
      <c r="E6" s="649"/>
      <c r="F6" s="649"/>
      <c r="G6" s="649"/>
      <c r="H6" s="649"/>
      <c r="I6" s="649"/>
      <c r="J6" s="649"/>
      <c r="K6" s="649"/>
      <c r="L6" s="649"/>
      <c r="M6" s="649"/>
      <c r="N6" s="650" t="s">
        <v>879</v>
      </c>
    </row>
    <row r="7" spans="1:18" ht="26.25" customHeight="1" thickBot="1">
      <c r="A7" s="985" t="s">
        <v>314</v>
      </c>
      <c r="B7" s="969" t="s">
        <v>278</v>
      </c>
      <c r="C7" s="969"/>
      <c r="D7" s="969"/>
      <c r="E7" s="969"/>
      <c r="F7" s="969"/>
      <c r="G7" s="969"/>
      <c r="H7" s="969"/>
      <c r="I7" s="969"/>
      <c r="J7" s="969"/>
      <c r="K7" s="969"/>
      <c r="L7" s="969"/>
      <c r="M7" s="969"/>
      <c r="N7" s="987" t="s">
        <v>565</v>
      </c>
    </row>
    <row r="8" spans="1:18" ht="39.75" customHeight="1">
      <c r="A8" s="986"/>
      <c r="B8" s="577">
        <v>-20</v>
      </c>
      <c r="C8" s="577" t="s">
        <v>269</v>
      </c>
      <c r="D8" s="577" t="s">
        <v>268</v>
      </c>
      <c r="E8" s="577" t="s">
        <v>267</v>
      </c>
      <c r="F8" s="577" t="s">
        <v>266</v>
      </c>
      <c r="G8" s="577" t="s">
        <v>265</v>
      </c>
      <c r="H8" s="577" t="s">
        <v>264</v>
      </c>
      <c r="I8" s="577" t="s">
        <v>263</v>
      </c>
      <c r="J8" s="577" t="s">
        <v>262</v>
      </c>
      <c r="K8" s="577" t="s">
        <v>275</v>
      </c>
      <c r="L8" s="586" t="s">
        <v>257</v>
      </c>
      <c r="M8" s="583" t="s">
        <v>256</v>
      </c>
      <c r="N8" s="988"/>
    </row>
    <row r="9" spans="1:18" ht="16.5" customHeight="1" thickBot="1">
      <c r="A9" s="7" t="s">
        <v>751</v>
      </c>
      <c r="B9" s="152">
        <v>1</v>
      </c>
      <c r="C9" s="152">
        <v>0</v>
      </c>
      <c r="D9" s="152">
        <v>0</v>
      </c>
      <c r="E9" s="152">
        <v>0</v>
      </c>
      <c r="F9" s="152">
        <v>0</v>
      </c>
      <c r="G9" s="152">
        <v>0</v>
      </c>
      <c r="H9" s="152">
        <v>0</v>
      </c>
      <c r="I9" s="152">
        <v>0</v>
      </c>
      <c r="J9" s="152">
        <v>0</v>
      </c>
      <c r="K9" s="152">
        <v>0</v>
      </c>
      <c r="L9" s="152">
        <v>0</v>
      </c>
      <c r="M9" s="8">
        <f>SUM(B9:L9)</f>
        <v>1</v>
      </c>
      <c r="N9" s="10" t="s">
        <v>751</v>
      </c>
    </row>
    <row r="10" spans="1:18" ht="16.5" customHeight="1" thickBot="1">
      <c r="A10" s="201" t="s">
        <v>269</v>
      </c>
      <c r="B10" s="401">
        <v>17</v>
      </c>
      <c r="C10" s="401">
        <v>81</v>
      </c>
      <c r="D10" s="401">
        <v>14</v>
      </c>
      <c r="E10" s="401">
        <v>1</v>
      </c>
      <c r="F10" s="401">
        <v>0</v>
      </c>
      <c r="G10" s="401">
        <v>0</v>
      </c>
      <c r="H10" s="401">
        <v>0</v>
      </c>
      <c r="I10" s="401">
        <v>0</v>
      </c>
      <c r="J10" s="401">
        <v>0</v>
      </c>
      <c r="K10" s="401">
        <v>0</v>
      </c>
      <c r="L10" s="401">
        <v>0</v>
      </c>
      <c r="M10" s="8">
        <f t="shared" ref="M10:M22" si="0">SUM(B10:L10)</f>
        <v>113</v>
      </c>
      <c r="N10" s="202" t="s">
        <v>269</v>
      </c>
    </row>
    <row r="11" spans="1:18" ht="16.5" customHeight="1" thickBot="1">
      <c r="A11" s="201" t="s">
        <v>268</v>
      </c>
      <c r="B11" s="401">
        <v>15</v>
      </c>
      <c r="C11" s="401">
        <v>99</v>
      </c>
      <c r="D11" s="401">
        <v>97</v>
      </c>
      <c r="E11" s="401">
        <v>13</v>
      </c>
      <c r="F11" s="401">
        <v>2</v>
      </c>
      <c r="G11" s="401">
        <v>0</v>
      </c>
      <c r="H11" s="401">
        <v>0</v>
      </c>
      <c r="I11" s="401">
        <v>0</v>
      </c>
      <c r="J11" s="401">
        <v>0</v>
      </c>
      <c r="K11" s="401">
        <v>0</v>
      </c>
      <c r="L11" s="401">
        <v>0</v>
      </c>
      <c r="M11" s="8">
        <f t="shared" si="0"/>
        <v>226</v>
      </c>
      <c r="N11" s="202" t="s">
        <v>268</v>
      </c>
    </row>
    <row r="12" spans="1:18" ht="16.5" customHeight="1" thickBot="1">
      <c r="A12" s="201" t="s">
        <v>267</v>
      </c>
      <c r="B12" s="401">
        <v>2</v>
      </c>
      <c r="C12" s="401">
        <v>21</v>
      </c>
      <c r="D12" s="401">
        <v>72</v>
      </c>
      <c r="E12" s="401">
        <v>49</v>
      </c>
      <c r="F12" s="401">
        <v>10</v>
      </c>
      <c r="G12" s="401">
        <v>8</v>
      </c>
      <c r="H12" s="401">
        <v>0</v>
      </c>
      <c r="I12" s="401">
        <v>0</v>
      </c>
      <c r="J12" s="401">
        <v>0</v>
      </c>
      <c r="K12" s="401">
        <v>0</v>
      </c>
      <c r="L12" s="401">
        <v>0</v>
      </c>
      <c r="M12" s="8">
        <f t="shared" si="0"/>
        <v>162</v>
      </c>
      <c r="N12" s="202" t="s">
        <v>267</v>
      </c>
    </row>
    <row r="13" spans="1:18" ht="16.5" customHeight="1" thickBot="1">
      <c r="A13" s="201" t="s">
        <v>266</v>
      </c>
      <c r="B13" s="401">
        <v>0</v>
      </c>
      <c r="C13" s="401">
        <v>8</v>
      </c>
      <c r="D13" s="401">
        <v>17</v>
      </c>
      <c r="E13" s="401">
        <v>36</v>
      </c>
      <c r="F13" s="401">
        <v>27</v>
      </c>
      <c r="G13" s="401">
        <v>1</v>
      </c>
      <c r="H13" s="401">
        <v>0</v>
      </c>
      <c r="I13" s="401">
        <v>1</v>
      </c>
      <c r="J13" s="401">
        <v>0</v>
      </c>
      <c r="K13" s="401">
        <v>0</v>
      </c>
      <c r="L13" s="401">
        <v>0</v>
      </c>
      <c r="M13" s="8">
        <f t="shared" si="0"/>
        <v>90</v>
      </c>
      <c r="N13" s="202" t="s">
        <v>266</v>
      </c>
    </row>
    <row r="14" spans="1:18" ht="16.5" customHeight="1" thickBot="1">
      <c r="A14" s="201" t="s">
        <v>265</v>
      </c>
      <c r="B14" s="401">
        <v>0</v>
      </c>
      <c r="C14" s="401">
        <v>1</v>
      </c>
      <c r="D14" s="401">
        <v>6</v>
      </c>
      <c r="E14" s="401">
        <v>11</v>
      </c>
      <c r="F14" s="401">
        <v>25</v>
      </c>
      <c r="G14" s="401">
        <v>13</v>
      </c>
      <c r="H14" s="401">
        <v>7</v>
      </c>
      <c r="I14" s="401">
        <v>0</v>
      </c>
      <c r="J14" s="401">
        <v>0</v>
      </c>
      <c r="K14" s="401">
        <v>0</v>
      </c>
      <c r="L14" s="401">
        <v>0</v>
      </c>
      <c r="M14" s="8">
        <f t="shared" si="0"/>
        <v>63</v>
      </c>
      <c r="N14" s="202" t="s">
        <v>265</v>
      </c>
    </row>
    <row r="15" spans="1:18" ht="16.5" customHeight="1" thickBot="1">
      <c r="A15" s="201" t="s">
        <v>264</v>
      </c>
      <c r="B15" s="401">
        <v>0</v>
      </c>
      <c r="C15" s="401">
        <v>1</v>
      </c>
      <c r="D15" s="401">
        <v>6</v>
      </c>
      <c r="E15" s="401">
        <v>7</v>
      </c>
      <c r="F15" s="401">
        <v>18</v>
      </c>
      <c r="G15" s="401">
        <v>8</v>
      </c>
      <c r="H15" s="401">
        <v>12</v>
      </c>
      <c r="I15" s="401">
        <v>3</v>
      </c>
      <c r="J15" s="401">
        <v>1</v>
      </c>
      <c r="K15" s="401">
        <v>0</v>
      </c>
      <c r="L15" s="401">
        <v>0</v>
      </c>
      <c r="M15" s="8">
        <f t="shared" si="0"/>
        <v>56</v>
      </c>
      <c r="N15" s="202" t="s">
        <v>264</v>
      </c>
    </row>
    <row r="16" spans="1:18" ht="16.5" customHeight="1" thickBot="1">
      <c r="A16" s="201" t="s">
        <v>263</v>
      </c>
      <c r="B16" s="401">
        <v>0</v>
      </c>
      <c r="C16" s="401">
        <v>0</v>
      </c>
      <c r="D16" s="401">
        <v>2</v>
      </c>
      <c r="E16" s="401">
        <v>2</v>
      </c>
      <c r="F16" s="401">
        <v>6</v>
      </c>
      <c r="G16" s="401">
        <v>9</v>
      </c>
      <c r="H16" s="401">
        <v>6</v>
      </c>
      <c r="I16" s="401">
        <v>6</v>
      </c>
      <c r="J16" s="401">
        <v>4</v>
      </c>
      <c r="K16" s="401">
        <v>0</v>
      </c>
      <c r="L16" s="401">
        <v>0</v>
      </c>
      <c r="M16" s="8">
        <f t="shared" si="0"/>
        <v>35</v>
      </c>
      <c r="N16" s="202" t="s">
        <v>263</v>
      </c>
    </row>
    <row r="17" spans="1:14" ht="16.5" customHeight="1" thickBot="1">
      <c r="A17" s="201" t="s">
        <v>262</v>
      </c>
      <c r="B17" s="401">
        <v>0</v>
      </c>
      <c r="C17" s="401">
        <v>0</v>
      </c>
      <c r="D17" s="401">
        <v>1</v>
      </c>
      <c r="E17" s="401">
        <v>2</v>
      </c>
      <c r="F17" s="401">
        <v>2</v>
      </c>
      <c r="G17" s="401">
        <v>2</v>
      </c>
      <c r="H17" s="401">
        <v>2</v>
      </c>
      <c r="I17" s="401">
        <v>6</v>
      </c>
      <c r="J17" s="401">
        <v>7</v>
      </c>
      <c r="K17" s="401">
        <v>0</v>
      </c>
      <c r="L17" s="401">
        <v>0</v>
      </c>
      <c r="M17" s="8">
        <f t="shared" si="0"/>
        <v>22</v>
      </c>
      <c r="N17" s="202" t="s">
        <v>262</v>
      </c>
    </row>
    <row r="18" spans="1:14" ht="16.5" customHeight="1" thickBot="1">
      <c r="A18" s="201" t="s">
        <v>261</v>
      </c>
      <c r="B18" s="401">
        <v>0</v>
      </c>
      <c r="C18" s="401">
        <v>0</v>
      </c>
      <c r="D18" s="401">
        <v>0</v>
      </c>
      <c r="E18" s="401">
        <v>2</v>
      </c>
      <c r="F18" s="401">
        <v>2</v>
      </c>
      <c r="G18" s="401">
        <v>1</v>
      </c>
      <c r="H18" s="401">
        <v>3</v>
      </c>
      <c r="I18" s="401">
        <v>4</v>
      </c>
      <c r="J18" s="401">
        <v>6</v>
      </c>
      <c r="K18" s="401">
        <v>1</v>
      </c>
      <c r="L18" s="401">
        <v>0</v>
      </c>
      <c r="M18" s="8">
        <f t="shared" si="0"/>
        <v>19</v>
      </c>
      <c r="N18" s="202" t="s">
        <v>261</v>
      </c>
    </row>
    <row r="19" spans="1:14" ht="16.5" customHeight="1" thickBot="1">
      <c r="A19" s="201" t="s">
        <v>260</v>
      </c>
      <c r="B19" s="401">
        <v>0</v>
      </c>
      <c r="C19" s="401">
        <v>0</v>
      </c>
      <c r="D19" s="401">
        <v>1</v>
      </c>
      <c r="E19" s="401">
        <v>1</v>
      </c>
      <c r="F19" s="401">
        <v>1</v>
      </c>
      <c r="G19" s="401">
        <v>0</v>
      </c>
      <c r="H19" s="401">
        <v>2</v>
      </c>
      <c r="I19" s="401">
        <v>3</v>
      </c>
      <c r="J19" s="401">
        <v>1</v>
      </c>
      <c r="K19" s="401">
        <v>1</v>
      </c>
      <c r="L19" s="401">
        <v>0</v>
      </c>
      <c r="M19" s="8">
        <f t="shared" si="0"/>
        <v>10</v>
      </c>
      <c r="N19" s="202" t="s">
        <v>260</v>
      </c>
    </row>
    <row r="20" spans="1:14" ht="16.5" customHeight="1" thickBot="1">
      <c r="A20" s="201" t="s">
        <v>259</v>
      </c>
      <c r="B20" s="401">
        <v>0</v>
      </c>
      <c r="C20" s="401">
        <v>0</v>
      </c>
      <c r="D20" s="401">
        <v>0</v>
      </c>
      <c r="E20" s="401">
        <v>1</v>
      </c>
      <c r="F20" s="401">
        <v>1</v>
      </c>
      <c r="G20" s="401">
        <v>0</v>
      </c>
      <c r="H20" s="401">
        <v>3</v>
      </c>
      <c r="I20" s="401">
        <v>0</v>
      </c>
      <c r="J20" s="401">
        <v>1</v>
      </c>
      <c r="K20" s="401">
        <v>3</v>
      </c>
      <c r="L20" s="401">
        <v>0</v>
      </c>
      <c r="M20" s="8">
        <f t="shared" si="0"/>
        <v>9</v>
      </c>
      <c r="N20" s="202" t="s">
        <v>259</v>
      </c>
    </row>
    <row r="21" spans="1:14" ht="16.5" customHeight="1" thickBot="1">
      <c r="A21" s="201" t="s">
        <v>258</v>
      </c>
      <c r="B21" s="401">
        <v>0</v>
      </c>
      <c r="C21" s="401">
        <v>0</v>
      </c>
      <c r="D21" s="401">
        <v>0</v>
      </c>
      <c r="E21" s="401">
        <v>0</v>
      </c>
      <c r="F21" s="401">
        <v>0</v>
      </c>
      <c r="G21" s="401">
        <v>0</v>
      </c>
      <c r="H21" s="401">
        <v>0</v>
      </c>
      <c r="I21" s="401">
        <v>0</v>
      </c>
      <c r="J21" s="401">
        <v>0</v>
      </c>
      <c r="K21" s="401">
        <v>1</v>
      </c>
      <c r="L21" s="401">
        <v>0</v>
      </c>
      <c r="M21" s="8">
        <f t="shared" si="0"/>
        <v>1</v>
      </c>
      <c r="N21" s="202" t="s">
        <v>258</v>
      </c>
    </row>
    <row r="22" spans="1:14" ht="16.5" customHeight="1" thickBot="1">
      <c r="A22" s="203" t="s">
        <v>19</v>
      </c>
      <c r="B22" s="402">
        <v>0</v>
      </c>
      <c r="C22" s="402">
        <v>0</v>
      </c>
      <c r="D22" s="402">
        <v>0</v>
      </c>
      <c r="E22" s="402">
        <v>0</v>
      </c>
      <c r="F22" s="402">
        <v>0</v>
      </c>
      <c r="G22" s="402">
        <v>0</v>
      </c>
      <c r="H22" s="402">
        <v>0</v>
      </c>
      <c r="I22" s="402">
        <v>0</v>
      </c>
      <c r="J22" s="402">
        <v>0</v>
      </c>
      <c r="K22" s="402">
        <v>0</v>
      </c>
      <c r="L22" s="402">
        <v>0</v>
      </c>
      <c r="M22" s="8">
        <f t="shared" si="0"/>
        <v>0</v>
      </c>
      <c r="N22" s="204" t="s">
        <v>20</v>
      </c>
    </row>
    <row r="23" spans="1:14" ht="27.75" customHeight="1">
      <c r="A23" s="178" t="s">
        <v>21</v>
      </c>
      <c r="B23" s="172">
        <f t="shared" ref="B23:M23" si="1">SUM(B9:B22)</f>
        <v>35</v>
      </c>
      <c r="C23" s="172">
        <f t="shared" si="1"/>
        <v>211</v>
      </c>
      <c r="D23" s="172">
        <f t="shared" si="1"/>
        <v>216</v>
      </c>
      <c r="E23" s="172">
        <f t="shared" si="1"/>
        <v>125</v>
      </c>
      <c r="F23" s="172">
        <f t="shared" si="1"/>
        <v>94</v>
      </c>
      <c r="G23" s="172">
        <f t="shared" si="1"/>
        <v>42</v>
      </c>
      <c r="H23" s="172">
        <f t="shared" si="1"/>
        <v>35</v>
      </c>
      <c r="I23" s="172">
        <f t="shared" si="1"/>
        <v>23</v>
      </c>
      <c r="J23" s="172">
        <f t="shared" si="1"/>
        <v>20</v>
      </c>
      <c r="K23" s="172">
        <f t="shared" si="1"/>
        <v>6</v>
      </c>
      <c r="L23" s="172">
        <f t="shared" si="1"/>
        <v>0</v>
      </c>
      <c r="M23" s="172">
        <f t="shared" si="1"/>
        <v>807</v>
      </c>
      <c r="N23" s="200" t="s">
        <v>176</v>
      </c>
    </row>
  </sheetData>
  <mergeCells count="7">
    <mergeCell ref="A7:A8"/>
    <mergeCell ref="N7:N8"/>
    <mergeCell ref="B7:M7"/>
    <mergeCell ref="A1:N1"/>
    <mergeCell ref="A2:N2"/>
    <mergeCell ref="A3:N3"/>
    <mergeCell ref="A4:N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rightToLeft="1" view="pageBreakPreview" zoomScaleNormal="100" zoomScaleSheetLayoutView="100" workbookViewId="0">
      <selection activeCell="A3" sqref="A3:N3"/>
    </sheetView>
  </sheetViews>
  <sheetFormatPr defaultColWidth="9.140625" defaultRowHeight="12.75"/>
  <cols>
    <col min="1" max="1" width="21" style="1" customWidth="1"/>
    <col min="2" max="11" width="7.5703125" style="1" customWidth="1"/>
    <col min="12" max="12" width="11.140625" style="1" customWidth="1"/>
    <col min="13" max="13" width="13.42578125" style="1" customWidth="1"/>
    <col min="14" max="14" width="19.42578125" style="1" customWidth="1"/>
    <col min="15" max="16384" width="9.140625" style="1"/>
  </cols>
  <sheetData>
    <row r="1" spans="1:18" s="2" customFormat="1" ht="21.75" customHeight="1">
      <c r="A1" s="934" t="s">
        <v>567</v>
      </c>
      <c r="B1" s="934"/>
      <c r="C1" s="934"/>
      <c r="D1" s="934"/>
      <c r="E1" s="934"/>
      <c r="F1" s="934"/>
      <c r="G1" s="934"/>
      <c r="H1" s="934"/>
      <c r="I1" s="934"/>
      <c r="J1" s="934"/>
      <c r="K1" s="934"/>
      <c r="L1" s="934"/>
      <c r="M1" s="934"/>
      <c r="N1" s="934"/>
    </row>
    <row r="2" spans="1:18" s="2" customFormat="1" ht="15.75">
      <c r="A2" s="958" t="s">
        <v>566</v>
      </c>
      <c r="B2" s="958"/>
      <c r="C2" s="958"/>
      <c r="D2" s="958"/>
      <c r="E2" s="958"/>
      <c r="F2" s="958"/>
      <c r="G2" s="958"/>
      <c r="H2" s="958"/>
      <c r="I2" s="958"/>
      <c r="J2" s="958"/>
      <c r="K2" s="958"/>
      <c r="L2" s="958"/>
      <c r="M2" s="958"/>
      <c r="N2" s="958"/>
    </row>
    <row r="3" spans="1:18" s="2" customFormat="1" ht="18" customHeight="1">
      <c r="A3" s="959">
        <v>2015</v>
      </c>
      <c r="B3" s="959"/>
      <c r="C3" s="959"/>
      <c r="D3" s="959"/>
      <c r="E3" s="959"/>
      <c r="F3" s="959"/>
      <c r="G3" s="959"/>
      <c r="H3" s="959"/>
      <c r="I3" s="959"/>
      <c r="J3" s="959"/>
      <c r="K3" s="959"/>
      <c r="L3" s="959"/>
      <c r="M3" s="959"/>
      <c r="N3" s="959"/>
      <c r="O3" s="125"/>
      <c r="P3" s="125"/>
      <c r="Q3" s="125"/>
      <c r="R3" s="125"/>
    </row>
    <row r="4" spans="1:18" s="2" customFormat="1" ht="15.75">
      <c r="A4" s="959" t="s">
        <v>172</v>
      </c>
      <c r="B4" s="959"/>
      <c r="C4" s="959"/>
      <c r="D4" s="959"/>
      <c r="E4" s="959"/>
      <c r="F4" s="959"/>
      <c r="G4" s="959"/>
      <c r="H4" s="959"/>
      <c r="I4" s="959"/>
      <c r="J4" s="959"/>
      <c r="K4" s="959"/>
      <c r="L4" s="959"/>
      <c r="M4" s="959"/>
      <c r="N4" s="959"/>
    </row>
    <row r="5" spans="1:18" s="2" customFormat="1" ht="15.75">
      <c r="A5" s="635"/>
      <c r="B5" s="635"/>
      <c r="C5" s="635"/>
      <c r="D5" s="635"/>
      <c r="E5" s="635"/>
      <c r="F5" s="635"/>
      <c r="G5" s="635"/>
      <c r="H5" s="635"/>
      <c r="I5" s="635"/>
      <c r="J5" s="635"/>
      <c r="K5" s="635"/>
      <c r="L5" s="635"/>
      <c r="M5" s="635"/>
      <c r="N5" s="635"/>
    </row>
    <row r="6" spans="1:18" s="93" customFormat="1" ht="15.75">
      <c r="A6" s="648" t="s">
        <v>812</v>
      </c>
      <c r="B6" s="649"/>
      <c r="C6" s="649"/>
      <c r="D6" s="649"/>
      <c r="E6" s="649"/>
      <c r="F6" s="649"/>
      <c r="G6" s="649"/>
      <c r="H6" s="649"/>
      <c r="I6" s="649"/>
      <c r="J6" s="649"/>
      <c r="K6" s="649"/>
      <c r="L6" s="649"/>
      <c r="M6" s="649"/>
      <c r="N6" s="650" t="s">
        <v>881</v>
      </c>
    </row>
    <row r="7" spans="1:18" ht="26.25" customHeight="1" thickBot="1">
      <c r="A7" s="985" t="s">
        <v>314</v>
      </c>
      <c r="B7" s="969" t="s">
        <v>278</v>
      </c>
      <c r="C7" s="969"/>
      <c r="D7" s="969"/>
      <c r="E7" s="969"/>
      <c r="F7" s="969"/>
      <c r="G7" s="969"/>
      <c r="H7" s="969"/>
      <c r="I7" s="969"/>
      <c r="J7" s="969"/>
      <c r="K7" s="969"/>
      <c r="L7" s="969"/>
      <c r="M7" s="969"/>
      <c r="N7" s="987" t="s">
        <v>565</v>
      </c>
    </row>
    <row r="8" spans="1:18" ht="39.75" customHeight="1">
      <c r="A8" s="986"/>
      <c r="B8" s="577">
        <v>-20</v>
      </c>
      <c r="C8" s="577" t="s">
        <v>269</v>
      </c>
      <c r="D8" s="577" t="s">
        <v>268</v>
      </c>
      <c r="E8" s="577" t="s">
        <v>267</v>
      </c>
      <c r="F8" s="577" t="s">
        <v>266</v>
      </c>
      <c r="G8" s="577" t="s">
        <v>265</v>
      </c>
      <c r="H8" s="577" t="s">
        <v>264</v>
      </c>
      <c r="I8" s="577" t="s">
        <v>263</v>
      </c>
      <c r="J8" s="577" t="s">
        <v>262</v>
      </c>
      <c r="K8" s="577" t="s">
        <v>275</v>
      </c>
      <c r="L8" s="586" t="s">
        <v>257</v>
      </c>
      <c r="M8" s="583" t="s">
        <v>256</v>
      </c>
      <c r="N8" s="988"/>
    </row>
    <row r="9" spans="1:18" ht="16.5" customHeight="1" thickBot="1">
      <c r="A9" s="223" t="s">
        <v>751</v>
      </c>
      <c r="B9" s="152">
        <v>0</v>
      </c>
      <c r="C9" s="152">
        <v>0</v>
      </c>
      <c r="D9" s="152">
        <v>0</v>
      </c>
      <c r="E9" s="152">
        <v>0</v>
      </c>
      <c r="F9" s="152">
        <v>0</v>
      </c>
      <c r="G9" s="152">
        <v>0</v>
      </c>
      <c r="H9" s="152">
        <v>0</v>
      </c>
      <c r="I9" s="152">
        <v>0</v>
      </c>
      <c r="J9" s="152">
        <v>0</v>
      </c>
      <c r="K9" s="152">
        <v>0</v>
      </c>
      <c r="L9" s="152">
        <v>0</v>
      </c>
      <c r="M9" s="8">
        <f>SUM(B9:L9)</f>
        <v>0</v>
      </c>
      <c r="N9" s="10" t="s">
        <v>751</v>
      </c>
    </row>
    <row r="10" spans="1:18" ht="16.5" customHeight="1" thickBot="1">
      <c r="A10" s="201" t="s">
        <v>269</v>
      </c>
      <c r="B10" s="401">
        <v>6</v>
      </c>
      <c r="C10" s="401">
        <v>9</v>
      </c>
      <c r="D10" s="401">
        <v>4</v>
      </c>
      <c r="E10" s="401">
        <v>0</v>
      </c>
      <c r="F10" s="401">
        <v>0</v>
      </c>
      <c r="G10" s="401">
        <v>0</v>
      </c>
      <c r="H10" s="401">
        <v>1</v>
      </c>
      <c r="I10" s="401">
        <v>0</v>
      </c>
      <c r="J10" s="401">
        <v>0</v>
      </c>
      <c r="K10" s="401">
        <v>0</v>
      </c>
      <c r="L10" s="401">
        <v>0</v>
      </c>
      <c r="M10" s="8">
        <f t="shared" ref="M10:M22" si="0">SUM(B10:L10)</f>
        <v>20</v>
      </c>
      <c r="N10" s="202" t="s">
        <v>269</v>
      </c>
    </row>
    <row r="11" spans="1:18" ht="16.5" customHeight="1" thickBot="1">
      <c r="A11" s="201" t="s">
        <v>268</v>
      </c>
      <c r="B11" s="401">
        <v>7</v>
      </c>
      <c r="C11" s="401">
        <v>31</v>
      </c>
      <c r="D11" s="401">
        <v>53</v>
      </c>
      <c r="E11" s="401">
        <v>8</v>
      </c>
      <c r="F11" s="401">
        <v>4</v>
      </c>
      <c r="G11" s="401">
        <v>0</v>
      </c>
      <c r="H11" s="401">
        <v>2</v>
      </c>
      <c r="I11" s="401">
        <v>0</v>
      </c>
      <c r="J11" s="401">
        <v>0</v>
      </c>
      <c r="K11" s="401">
        <v>0</v>
      </c>
      <c r="L11" s="401">
        <v>0</v>
      </c>
      <c r="M11" s="8">
        <f t="shared" si="0"/>
        <v>105</v>
      </c>
      <c r="N11" s="202" t="s">
        <v>268</v>
      </c>
    </row>
    <row r="12" spans="1:18" ht="16.5" customHeight="1" thickBot="1">
      <c r="A12" s="201" t="s">
        <v>267</v>
      </c>
      <c r="B12" s="401">
        <v>3</v>
      </c>
      <c r="C12" s="401">
        <v>15</v>
      </c>
      <c r="D12" s="401">
        <v>49</v>
      </c>
      <c r="E12" s="401">
        <v>31</v>
      </c>
      <c r="F12" s="401">
        <v>6</v>
      </c>
      <c r="G12" s="401">
        <v>1</v>
      </c>
      <c r="H12" s="401">
        <v>2</v>
      </c>
      <c r="I12" s="401">
        <v>0</v>
      </c>
      <c r="J12" s="401">
        <v>0</v>
      </c>
      <c r="K12" s="401">
        <v>0</v>
      </c>
      <c r="L12" s="401">
        <v>0</v>
      </c>
      <c r="M12" s="8">
        <f t="shared" si="0"/>
        <v>107</v>
      </c>
      <c r="N12" s="202" t="s">
        <v>267</v>
      </c>
    </row>
    <row r="13" spans="1:18" ht="16.5" customHeight="1" thickBot="1">
      <c r="A13" s="201" t="s">
        <v>266</v>
      </c>
      <c r="B13" s="401">
        <v>1</v>
      </c>
      <c r="C13" s="401">
        <v>3</v>
      </c>
      <c r="D13" s="401">
        <v>19</v>
      </c>
      <c r="E13" s="401">
        <v>37</v>
      </c>
      <c r="F13" s="401">
        <v>27</v>
      </c>
      <c r="G13" s="401">
        <v>6</v>
      </c>
      <c r="H13" s="401">
        <v>3</v>
      </c>
      <c r="I13" s="401">
        <v>2</v>
      </c>
      <c r="J13" s="401">
        <v>0</v>
      </c>
      <c r="K13" s="401">
        <v>0</v>
      </c>
      <c r="L13" s="401">
        <v>0</v>
      </c>
      <c r="M13" s="8">
        <f t="shared" si="0"/>
        <v>98</v>
      </c>
      <c r="N13" s="202" t="s">
        <v>266</v>
      </c>
    </row>
    <row r="14" spans="1:18" ht="16.5" customHeight="1" thickBot="1">
      <c r="A14" s="201" t="s">
        <v>265</v>
      </c>
      <c r="B14" s="401">
        <v>0</v>
      </c>
      <c r="C14" s="401">
        <v>4</v>
      </c>
      <c r="D14" s="401">
        <v>4</v>
      </c>
      <c r="E14" s="401">
        <v>16</v>
      </c>
      <c r="F14" s="401">
        <v>18</v>
      </c>
      <c r="G14" s="401">
        <v>7</v>
      </c>
      <c r="H14" s="401">
        <v>3</v>
      </c>
      <c r="I14" s="401">
        <v>3</v>
      </c>
      <c r="J14" s="401">
        <v>0</v>
      </c>
      <c r="K14" s="401">
        <v>0</v>
      </c>
      <c r="L14" s="401">
        <v>0</v>
      </c>
      <c r="M14" s="8">
        <f t="shared" si="0"/>
        <v>55</v>
      </c>
      <c r="N14" s="202" t="s">
        <v>265</v>
      </c>
    </row>
    <row r="15" spans="1:18" ht="16.5" customHeight="1" thickBot="1">
      <c r="A15" s="201" t="s">
        <v>264</v>
      </c>
      <c r="B15" s="401">
        <v>0</v>
      </c>
      <c r="C15" s="401">
        <v>1</v>
      </c>
      <c r="D15" s="401">
        <v>5</v>
      </c>
      <c r="E15" s="401">
        <v>10</v>
      </c>
      <c r="F15" s="401">
        <v>15</v>
      </c>
      <c r="G15" s="401">
        <v>10</v>
      </c>
      <c r="H15" s="401">
        <v>7</v>
      </c>
      <c r="I15" s="401">
        <v>0</v>
      </c>
      <c r="J15" s="401">
        <v>0</v>
      </c>
      <c r="K15" s="401">
        <v>0</v>
      </c>
      <c r="L15" s="401">
        <v>0</v>
      </c>
      <c r="M15" s="8">
        <f t="shared" si="0"/>
        <v>48</v>
      </c>
      <c r="N15" s="202" t="s">
        <v>264</v>
      </c>
    </row>
    <row r="16" spans="1:18" ht="16.5" customHeight="1" thickBot="1">
      <c r="A16" s="201" t="s">
        <v>263</v>
      </c>
      <c r="B16" s="401">
        <v>0</v>
      </c>
      <c r="C16" s="401">
        <v>0</v>
      </c>
      <c r="D16" s="401">
        <v>1</v>
      </c>
      <c r="E16" s="401">
        <v>3</v>
      </c>
      <c r="F16" s="401">
        <v>7</v>
      </c>
      <c r="G16" s="401">
        <v>6</v>
      </c>
      <c r="H16" s="401">
        <v>6</v>
      </c>
      <c r="I16" s="401">
        <v>5</v>
      </c>
      <c r="J16" s="401">
        <v>1</v>
      </c>
      <c r="K16" s="401">
        <v>0</v>
      </c>
      <c r="L16" s="401">
        <v>0</v>
      </c>
      <c r="M16" s="8">
        <f t="shared" si="0"/>
        <v>29</v>
      </c>
      <c r="N16" s="202" t="s">
        <v>263</v>
      </c>
    </row>
    <row r="17" spans="1:14" ht="16.5" customHeight="1" thickBot="1">
      <c r="A17" s="201" t="s">
        <v>262</v>
      </c>
      <c r="B17" s="401">
        <v>0</v>
      </c>
      <c r="C17" s="401">
        <v>0</v>
      </c>
      <c r="D17" s="401">
        <v>0</v>
      </c>
      <c r="E17" s="401">
        <v>2</v>
      </c>
      <c r="F17" s="401">
        <v>1</v>
      </c>
      <c r="G17" s="401">
        <v>6</v>
      </c>
      <c r="H17" s="401">
        <v>4</v>
      </c>
      <c r="I17" s="401">
        <v>1</v>
      </c>
      <c r="J17" s="401">
        <v>4</v>
      </c>
      <c r="K17" s="401">
        <v>0</v>
      </c>
      <c r="L17" s="401">
        <v>0</v>
      </c>
      <c r="M17" s="8">
        <f t="shared" si="0"/>
        <v>18</v>
      </c>
      <c r="N17" s="202" t="s">
        <v>262</v>
      </c>
    </row>
    <row r="18" spans="1:14" ht="16.5" customHeight="1" thickBot="1">
      <c r="A18" s="201" t="s">
        <v>261</v>
      </c>
      <c r="B18" s="401">
        <v>0</v>
      </c>
      <c r="C18" s="401">
        <v>0</v>
      </c>
      <c r="D18" s="401">
        <v>0</v>
      </c>
      <c r="E18" s="401">
        <v>0</v>
      </c>
      <c r="F18" s="401">
        <v>0</v>
      </c>
      <c r="G18" s="401">
        <v>3</v>
      </c>
      <c r="H18" s="401">
        <v>3</v>
      </c>
      <c r="I18" s="401">
        <v>2</v>
      </c>
      <c r="J18" s="401">
        <v>2</v>
      </c>
      <c r="K18" s="401">
        <v>3</v>
      </c>
      <c r="L18" s="401">
        <v>0</v>
      </c>
      <c r="M18" s="8">
        <f t="shared" si="0"/>
        <v>13</v>
      </c>
      <c r="N18" s="202" t="s">
        <v>261</v>
      </c>
    </row>
    <row r="19" spans="1:14" ht="16.5" customHeight="1" thickBot="1">
      <c r="A19" s="201" t="s">
        <v>260</v>
      </c>
      <c r="B19" s="401">
        <v>0</v>
      </c>
      <c r="C19" s="401">
        <v>0</v>
      </c>
      <c r="D19" s="401">
        <v>0</v>
      </c>
      <c r="E19" s="401">
        <v>0</v>
      </c>
      <c r="F19" s="401">
        <v>0</v>
      </c>
      <c r="G19" s="401">
        <v>0</v>
      </c>
      <c r="H19" s="401">
        <v>0</v>
      </c>
      <c r="I19" s="401">
        <v>1</v>
      </c>
      <c r="J19" s="401">
        <v>2</v>
      </c>
      <c r="K19" s="401">
        <v>0</v>
      </c>
      <c r="L19" s="401">
        <v>0</v>
      </c>
      <c r="M19" s="8">
        <f t="shared" si="0"/>
        <v>3</v>
      </c>
      <c r="N19" s="202" t="s">
        <v>260</v>
      </c>
    </row>
    <row r="20" spans="1:14" ht="16.5" customHeight="1" thickBot="1">
      <c r="A20" s="201" t="s">
        <v>259</v>
      </c>
      <c r="B20" s="401">
        <v>0</v>
      </c>
      <c r="C20" s="401">
        <v>0</v>
      </c>
      <c r="D20" s="401">
        <v>0</v>
      </c>
      <c r="E20" s="401">
        <v>0</v>
      </c>
      <c r="F20" s="401">
        <v>0</v>
      </c>
      <c r="G20" s="401">
        <v>0</v>
      </c>
      <c r="H20" s="401">
        <v>0</v>
      </c>
      <c r="I20" s="401">
        <v>2</v>
      </c>
      <c r="J20" s="401">
        <v>0</v>
      </c>
      <c r="K20" s="401">
        <v>0</v>
      </c>
      <c r="L20" s="401">
        <v>0</v>
      </c>
      <c r="M20" s="8">
        <f t="shared" si="0"/>
        <v>2</v>
      </c>
      <c r="N20" s="202" t="s">
        <v>259</v>
      </c>
    </row>
    <row r="21" spans="1:14" ht="16.5" customHeight="1" thickBot="1">
      <c r="A21" s="201" t="s">
        <v>258</v>
      </c>
      <c r="B21" s="401">
        <v>0</v>
      </c>
      <c r="C21" s="401">
        <v>0</v>
      </c>
      <c r="D21" s="401">
        <v>1</v>
      </c>
      <c r="E21" s="401">
        <v>0</v>
      </c>
      <c r="F21" s="401">
        <v>0</v>
      </c>
      <c r="G21" s="401">
        <v>0</v>
      </c>
      <c r="H21" s="401">
        <v>1</v>
      </c>
      <c r="I21" s="401">
        <v>0</v>
      </c>
      <c r="J21" s="401">
        <v>0</v>
      </c>
      <c r="K21" s="401">
        <v>0</v>
      </c>
      <c r="L21" s="401">
        <v>0</v>
      </c>
      <c r="M21" s="8">
        <f t="shared" si="0"/>
        <v>2</v>
      </c>
      <c r="N21" s="202" t="s">
        <v>258</v>
      </c>
    </row>
    <row r="22" spans="1:14" ht="16.5" customHeight="1" thickBot="1">
      <c r="A22" s="203" t="s">
        <v>19</v>
      </c>
      <c r="B22" s="402">
        <v>0</v>
      </c>
      <c r="C22" s="402">
        <v>0</v>
      </c>
      <c r="D22" s="402">
        <v>0</v>
      </c>
      <c r="E22" s="402">
        <v>0</v>
      </c>
      <c r="F22" s="402">
        <v>0</v>
      </c>
      <c r="G22" s="402">
        <v>0</v>
      </c>
      <c r="H22" s="402">
        <v>0</v>
      </c>
      <c r="I22" s="402">
        <v>0</v>
      </c>
      <c r="J22" s="402">
        <v>0</v>
      </c>
      <c r="K22" s="402">
        <v>0</v>
      </c>
      <c r="L22" s="402">
        <v>0</v>
      </c>
      <c r="M22" s="8">
        <f t="shared" si="0"/>
        <v>0</v>
      </c>
      <c r="N22" s="204" t="s">
        <v>20</v>
      </c>
    </row>
    <row r="23" spans="1:14" ht="27.75" customHeight="1">
      <c r="A23" s="178" t="s">
        <v>21</v>
      </c>
      <c r="B23" s="172">
        <f t="shared" ref="B23:M23" si="1">SUM(B9:B22)</f>
        <v>17</v>
      </c>
      <c r="C23" s="172">
        <f t="shared" si="1"/>
        <v>63</v>
      </c>
      <c r="D23" s="172">
        <f t="shared" si="1"/>
        <v>136</v>
      </c>
      <c r="E23" s="172">
        <f t="shared" si="1"/>
        <v>107</v>
      </c>
      <c r="F23" s="172">
        <f t="shared" si="1"/>
        <v>78</v>
      </c>
      <c r="G23" s="172">
        <f t="shared" si="1"/>
        <v>39</v>
      </c>
      <c r="H23" s="172">
        <f t="shared" si="1"/>
        <v>32</v>
      </c>
      <c r="I23" s="172">
        <f t="shared" si="1"/>
        <v>16</v>
      </c>
      <c r="J23" s="172">
        <f t="shared" si="1"/>
        <v>9</v>
      </c>
      <c r="K23" s="172">
        <f t="shared" si="1"/>
        <v>3</v>
      </c>
      <c r="L23" s="172">
        <f t="shared" si="1"/>
        <v>0</v>
      </c>
      <c r="M23" s="172">
        <f t="shared" si="1"/>
        <v>500</v>
      </c>
      <c r="N23" s="200" t="s">
        <v>176</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rightToLeft="1" view="pageBreakPreview" zoomScaleNormal="100" zoomScaleSheetLayoutView="100" workbookViewId="0">
      <selection activeCell="R22" sqref="R22"/>
    </sheetView>
  </sheetViews>
  <sheetFormatPr defaultColWidth="9.140625" defaultRowHeight="12.75"/>
  <cols>
    <col min="1" max="1" width="21" style="1" customWidth="1"/>
    <col min="2" max="11" width="7.5703125" style="1" customWidth="1"/>
    <col min="12" max="12" width="11.140625" style="1" customWidth="1"/>
    <col min="13" max="13" width="13.42578125" style="1" customWidth="1"/>
    <col min="14" max="14" width="19.42578125" style="1" customWidth="1"/>
    <col min="15" max="16384" width="9.140625" style="1"/>
  </cols>
  <sheetData>
    <row r="1" spans="1:18" s="2" customFormat="1" ht="21.75" customHeight="1">
      <c r="A1" s="934" t="s">
        <v>567</v>
      </c>
      <c r="B1" s="934"/>
      <c r="C1" s="934"/>
      <c r="D1" s="934"/>
      <c r="E1" s="934"/>
      <c r="F1" s="934"/>
      <c r="G1" s="934"/>
      <c r="H1" s="934"/>
      <c r="I1" s="934"/>
      <c r="J1" s="934"/>
      <c r="K1" s="934"/>
      <c r="L1" s="934"/>
      <c r="M1" s="934"/>
      <c r="N1" s="934"/>
    </row>
    <row r="2" spans="1:18" s="2" customFormat="1" ht="15.75">
      <c r="A2" s="958" t="s">
        <v>566</v>
      </c>
      <c r="B2" s="958"/>
      <c r="C2" s="958"/>
      <c r="D2" s="958"/>
      <c r="E2" s="958"/>
      <c r="F2" s="958"/>
      <c r="G2" s="958"/>
      <c r="H2" s="958"/>
      <c r="I2" s="958"/>
      <c r="J2" s="958"/>
      <c r="K2" s="958"/>
      <c r="L2" s="958"/>
      <c r="M2" s="958"/>
      <c r="N2" s="958"/>
    </row>
    <row r="3" spans="1:18" s="2" customFormat="1" ht="18" customHeight="1">
      <c r="A3" s="959">
        <v>2015</v>
      </c>
      <c r="B3" s="959"/>
      <c r="C3" s="959"/>
      <c r="D3" s="959"/>
      <c r="E3" s="959"/>
      <c r="F3" s="959"/>
      <c r="G3" s="959"/>
      <c r="H3" s="959"/>
      <c r="I3" s="959"/>
      <c r="J3" s="959"/>
      <c r="K3" s="959"/>
      <c r="L3" s="959"/>
      <c r="M3" s="959"/>
      <c r="N3" s="959"/>
      <c r="O3" s="125"/>
      <c r="P3" s="125"/>
      <c r="Q3" s="125"/>
      <c r="R3" s="125"/>
    </row>
    <row r="4" spans="1:18" s="2" customFormat="1" ht="15.75">
      <c r="A4" s="959" t="s">
        <v>1</v>
      </c>
      <c r="B4" s="959"/>
      <c r="C4" s="959"/>
      <c r="D4" s="959"/>
      <c r="E4" s="959"/>
      <c r="F4" s="959"/>
      <c r="G4" s="959"/>
      <c r="H4" s="959"/>
      <c r="I4" s="959"/>
      <c r="J4" s="959"/>
      <c r="K4" s="959"/>
      <c r="L4" s="959"/>
      <c r="M4" s="959"/>
      <c r="N4" s="959"/>
    </row>
    <row r="5" spans="1:18" s="2" customFormat="1" ht="15.75">
      <c r="A5" s="635"/>
      <c r="B5" s="635"/>
      <c r="C5" s="635"/>
      <c r="D5" s="635"/>
      <c r="E5" s="635"/>
      <c r="F5" s="635"/>
      <c r="G5" s="635"/>
      <c r="H5" s="635"/>
      <c r="I5" s="635"/>
      <c r="J5" s="635"/>
      <c r="K5" s="635"/>
      <c r="L5" s="635"/>
      <c r="M5" s="635"/>
      <c r="N5" s="635"/>
    </row>
    <row r="6" spans="1:18" s="93" customFormat="1" ht="15.75">
      <c r="A6" s="648" t="s">
        <v>811</v>
      </c>
      <c r="B6" s="649"/>
      <c r="C6" s="649"/>
      <c r="D6" s="649"/>
      <c r="E6" s="649"/>
      <c r="F6" s="649"/>
      <c r="G6" s="649"/>
      <c r="H6" s="649"/>
      <c r="I6" s="649"/>
      <c r="J6" s="649"/>
      <c r="K6" s="649"/>
      <c r="L6" s="649"/>
      <c r="M6" s="649"/>
      <c r="N6" s="650" t="s">
        <v>880</v>
      </c>
    </row>
    <row r="7" spans="1:18" ht="26.25" customHeight="1" thickBot="1">
      <c r="A7" s="985" t="s">
        <v>314</v>
      </c>
      <c r="B7" s="969" t="s">
        <v>278</v>
      </c>
      <c r="C7" s="969"/>
      <c r="D7" s="969"/>
      <c r="E7" s="969"/>
      <c r="F7" s="969"/>
      <c r="G7" s="969"/>
      <c r="H7" s="969"/>
      <c r="I7" s="969"/>
      <c r="J7" s="969"/>
      <c r="K7" s="969"/>
      <c r="L7" s="969"/>
      <c r="M7" s="969"/>
      <c r="N7" s="987" t="s">
        <v>565</v>
      </c>
    </row>
    <row r="8" spans="1:18" ht="39.75" customHeight="1">
      <c r="A8" s="986"/>
      <c r="B8" s="577">
        <v>-20</v>
      </c>
      <c r="C8" s="577" t="s">
        <v>269</v>
      </c>
      <c r="D8" s="577" t="s">
        <v>268</v>
      </c>
      <c r="E8" s="577" t="s">
        <v>267</v>
      </c>
      <c r="F8" s="577" t="s">
        <v>266</v>
      </c>
      <c r="G8" s="577" t="s">
        <v>265</v>
      </c>
      <c r="H8" s="577" t="s">
        <v>264</v>
      </c>
      <c r="I8" s="577" t="s">
        <v>263</v>
      </c>
      <c r="J8" s="577" t="s">
        <v>262</v>
      </c>
      <c r="K8" s="577" t="s">
        <v>275</v>
      </c>
      <c r="L8" s="586" t="s">
        <v>257</v>
      </c>
      <c r="M8" s="583" t="s">
        <v>256</v>
      </c>
      <c r="N8" s="988"/>
    </row>
    <row r="9" spans="1:18" ht="16.5" customHeight="1" thickBot="1">
      <c r="A9" s="223" t="s">
        <v>751</v>
      </c>
      <c r="B9" s="152">
        <v>1</v>
      </c>
      <c r="C9" s="152">
        <v>0</v>
      </c>
      <c r="D9" s="152">
        <v>0</v>
      </c>
      <c r="E9" s="152">
        <v>0</v>
      </c>
      <c r="F9" s="152">
        <v>0</v>
      </c>
      <c r="G9" s="152">
        <v>0</v>
      </c>
      <c r="H9" s="152">
        <v>0</v>
      </c>
      <c r="I9" s="152">
        <v>0</v>
      </c>
      <c r="J9" s="152">
        <v>0</v>
      </c>
      <c r="K9" s="152">
        <v>0</v>
      </c>
      <c r="L9" s="152">
        <v>0</v>
      </c>
      <c r="M9" s="8">
        <f>SUM(B9:L9)</f>
        <v>1</v>
      </c>
      <c r="N9" s="10" t="s">
        <v>751</v>
      </c>
    </row>
    <row r="10" spans="1:18" ht="16.5" customHeight="1" thickBot="1">
      <c r="A10" s="201" t="s">
        <v>269</v>
      </c>
      <c r="B10" s="401">
        <v>23</v>
      </c>
      <c r="C10" s="401">
        <v>90</v>
      </c>
      <c r="D10" s="401">
        <v>18</v>
      </c>
      <c r="E10" s="401">
        <v>1</v>
      </c>
      <c r="F10" s="401">
        <v>0</v>
      </c>
      <c r="G10" s="401">
        <v>0</v>
      </c>
      <c r="H10" s="401">
        <v>1</v>
      </c>
      <c r="I10" s="401">
        <v>0</v>
      </c>
      <c r="J10" s="401">
        <v>0</v>
      </c>
      <c r="K10" s="401">
        <v>0</v>
      </c>
      <c r="L10" s="401">
        <v>0</v>
      </c>
      <c r="M10" s="8">
        <f t="shared" ref="M10:M22" si="0">SUM(B10:L10)</f>
        <v>133</v>
      </c>
      <c r="N10" s="202" t="s">
        <v>269</v>
      </c>
    </row>
    <row r="11" spans="1:18" ht="16.5" customHeight="1" thickBot="1">
      <c r="A11" s="201" t="s">
        <v>268</v>
      </c>
      <c r="B11" s="401">
        <v>22</v>
      </c>
      <c r="C11" s="401">
        <v>130</v>
      </c>
      <c r="D11" s="401">
        <v>150</v>
      </c>
      <c r="E11" s="401">
        <v>21</v>
      </c>
      <c r="F11" s="401">
        <v>6</v>
      </c>
      <c r="G11" s="401">
        <v>0</v>
      </c>
      <c r="H11" s="401">
        <v>2</v>
      </c>
      <c r="I11" s="401">
        <v>0</v>
      </c>
      <c r="J11" s="401">
        <v>0</v>
      </c>
      <c r="K11" s="401">
        <v>0</v>
      </c>
      <c r="L11" s="401">
        <v>0</v>
      </c>
      <c r="M11" s="8">
        <f t="shared" si="0"/>
        <v>331</v>
      </c>
      <c r="N11" s="202" t="s">
        <v>268</v>
      </c>
    </row>
    <row r="12" spans="1:18" ht="16.5" customHeight="1" thickBot="1">
      <c r="A12" s="201" t="s">
        <v>267</v>
      </c>
      <c r="B12" s="401">
        <v>5</v>
      </c>
      <c r="C12" s="401">
        <v>36</v>
      </c>
      <c r="D12" s="401">
        <v>121</v>
      </c>
      <c r="E12" s="401">
        <v>80</v>
      </c>
      <c r="F12" s="401">
        <v>16</v>
      </c>
      <c r="G12" s="401">
        <v>9</v>
      </c>
      <c r="H12" s="401">
        <v>2</v>
      </c>
      <c r="I12" s="401">
        <v>0</v>
      </c>
      <c r="J12" s="401">
        <v>0</v>
      </c>
      <c r="K12" s="401">
        <v>0</v>
      </c>
      <c r="L12" s="401">
        <v>0</v>
      </c>
      <c r="M12" s="8">
        <f t="shared" si="0"/>
        <v>269</v>
      </c>
      <c r="N12" s="202" t="s">
        <v>267</v>
      </c>
    </row>
    <row r="13" spans="1:18" ht="16.5" customHeight="1" thickBot="1">
      <c r="A13" s="201" t="s">
        <v>266</v>
      </c>
      <c r="B13" s="401">
        <v>1</v>
      </c>
      <c r="C13" s="401">
        <v>11</v>
      </c>
      <c r="D13" s="401">
        <v>36</v>
      </c>
      <c r="E13" s="401">
        <v>73</v>
      </c>
      <c r="F13" s="401">
        <v>54</v>
      </c>
      <c r="G13" s="401">
        <v>7</v>
      </c>
      <c r="H13" s="401">
        <v>3</v>
      </c>
      <c r="I13" s="401">
        <v>3</v>
      </c>
      <c r="J13" s="401">
        <v>0</v>
      </c>
      <c r="K13" s="401">
        <v>0</v>
      </c>
      <c r="L13" s="401">
        <v>0</v>
      </c>
      <c r="M13" s="8">
        <f t="shared" si="0"/>
        <v>188</v>
      </c>
      <c r="N13" s="202" t="s">
        <v>266</v>
      </c>
    </row>
    <row r="14" spans="1:18" ht="16.5" customHeight="1" thickBot="1">
      <c r="A14" s="201" t="s">
        <v>265</v>
      </c>
      <c r="B14" s="401">
        <v>0</v>
      </c>
      <c r="C14" s="401">
        <v>5</v>
      </c>
      <c r="D14" s="401">
        <v>10</v>
      </c>
      <c r="E14" s="401">
        <v>27</v>
      </c>
      <c r="F14" s="401">
        <v>43</v>
      </c>
      <c r="G14" s="401">
        <v>20</v>
      </c>
      <c r="H14" s="401">
        <v>10</v>
      </c>
      <c r="I14" s="401">
        <v>3</v>
      </c>
      <c r="J14" s="401">
        <v>0</v>
      </c>
      <c r="K14" s="401">
        <v>0</v>
      </c>
      <c r="L14" s="401">
        <v>0</v>
      </c>
      <c r="M14" s="8">
        <f t="shared" si="0"/>
        <v>118</v>
      </c>
      <c r="N14" s="202" t="s">
        <v>265</v>
      </c>
    </row>
    <row r="15" spans="1:18" ht="16.5" customHeight="1" thickBot="1">
      <c r="A15" s="201" t="s">
        <v>264</v>
      </c>
      <c r="B15" s="401">
        <v>0</v>
      </c>
      <c r="C15" s="401">
        <v>2</v>
      </c>
      <c r="D15" s="401">
        <v>11</v>
      </c>
      <c r="E15" s="401">
        <v>17</v>
      </c>
      <c r="F15" s="401">
        <v>33</v>
      </c>
      <c r="G15" s="401">
        <v>18</v>
      </c>
      <c r="H15" s="401">
        <v>19</v>
      </c>
      <c r="I15" s="401">
        <v>3</v>
      </c>
      <c r="J15" s="401">
        <v>1</v>
      </c>
      <c r="K15" s="401">
        <v>0</v>
      </c>
      <c r="L15" s="401">
        <v>0</v>
      </c>
      <c r="M15" s="8">
        <f t="shared" si="0"/>
        <v>104</v>
      </c>
      <c r="N15" s="202" t="s">
        <v>264</v>
      </c>
    </row>
    <row r="16" spans="1:18" ht="16.5" customHeight="1" thickBot="1">
      <c r="A16" s="201" t="s">
        <v>263</v>
      </c>
      <c r="B16" s="401">
        <v>0</v>
      </c>
      <c r="C16" s="401">
        <v>0</v>
      </c>
      <c r="D16" s="401">
        <v>3</v>
      </c>
      <c r="E16" s="401">
        <v>5</v>
      </c>
      <c r="F16" s="401">
        <v>13</v>
      </c>
      <c r="G16" s="401">
        <v>15</v>
      </c>
      <c r="H16" s="401">
        <v>12</v>
      </c>
      <c r="I16" s="401">
        <v>11</v>
      </c>
      <c r="J16" s="401">
        <v>5</v>
      </c>
      <c r="K16" s="401">
        <v>0</v>
      </c>
      <c r="L16" s="401">
        <v>0</v>
      </c>
      <c r="M16" s="8">
        <f t="shared" si="0"/>
        <v>64</v>
      </c>
      <c r="N16" s="202" t="s">
        <v>263</v>
      </c>
    </row>
    <row r="17" spans="1:14" ht="16.5" customHeight="1" thickBot="1">
      <c r="A17" s="201" t="s">
        <v>262</v>
      </c>
      <c r="B17" s="401">
        <v>0</v>
      </c>
      <c r="C17" s="401">
        <v>0</v>
      </c>
      <c r="D17" s="401">
        <v>1</v>
      </c>
      <c r="E17" s="401">
        <v>4</v>
      </c>
      <c r="F17" s="401">
        <v>3</v>
      </c>
      <c r="G17" s="401">
        <v>8</v>
      </c>
      <c r="H17" s="401">
        <v>6</v>
      </c>
      <c r="I17" s="401">
        <v>7</v>
      </c>
      <c r="J17" s="401">
        <v>11</v>
      </c>
      <c r="K17" s="401">
        <v>0</v>
      </c>
      <c r="L17" s="401">
        <v>0</v>
      </c>
      <c r="M17" s="8">
        <f t="shared" si="0"/>
        <v>40</v>
      </c>
      <c r="N17" s="202" t="s">
        <v>262</v>
      </c>
    </row>
    <row r="18" spans="1:14" ht="16.5" customHeight="1" thickBot="1">
      <c r="A18" s="201" t="s">
        <v>261</v>
      </c>
      <c r="B18" s="401">
        <v>0</v>
      </c>
      <c r="C18" s="401">
        <v>0</v>
      </c>
      <c r="D18" s="401">
        <v>0</v>
      </c>
      <c r="E18" s="401">
        <v>2</v>
      </c>
      <c r="F18" s="401">
        <v>2</v>
      </c>
      <c r="G18" s="401">
        <v>4</v>
      </c>
      <c r="H18" s="401">
        <v>6</v>
      </c>
      <c r="I18" s="401">
        <v>6</v>
      </c>
      <c r="J18" s="401">
        <v>8</v>
      </c>
      <c r="K18" s="401">
        <v>4</v>
      </c>
      <c r="L18" s="401">
        <v>0</v>
      </c>
      <c r="M18" s="8">
        <f t="shared" si="0"/>
        <v>32</v>
      </c>
      <c r="N18" s="202" t="s">
        <v>261</v>
      </c>
    </row>
    <row r="19" spans="1:14" ht="16.5" customHeight="1" thickBot="1">
      <c r="A19" s="201" t="s">
        <v>260</v>
      </c>
      <c r="B19" s="401">
        <v>0</v>
      </c>
      <c r="C19" s="401">
        <v>0</v>
      </c>
      <c r="D19" s="401">
        <v>1</v>
      </c>
      <c r="E19" s="401">
        <v>1</v>
      </c>
      <c r="F19" s="401">
        <v>1</v>
      </c>
      <c r="G19" s="401">
        <v>0</v>
      </c>
      <c r="H19" s="401">
        <v>2</v>
      </c>
      <c r="I19" s="401">
        <v>4</v>
      </c>
      <c r="J19" s="401">
        <v>3</v>
      </c>
      <c r="K19" s="401">
        <v>1</v>
      </c>
      <c r="L19" s="401">
        <v>0</v>
      </c>
      <c r="M19" s="8">
        <f t="shared" si="0"/>
        <v>13</v>
      </c>
      <c r="N19" s="202" t="s">
        <v>260</v>
      </c>
    </row>
    <row r="20" spans="1:14" ht="16.5" customHeight="1" thickBot="1">
      <c r="A20" s="201" t="s">
        <v>259</v>
      </c>
      <c r="B20" s="401">
        <v>0</v>
      </c>
      <c r="C20" s="401">
        <v>0</v>
      </c>
      <c r="D20" s="401">
        <v>0</v>
      </c>
      <c r="E20" s="401">
        <v>1</v>
      </c>
      <c r="F20" s="401">
        <v>1</v>
      </c>
      <c r="G20" s="401">
        <v>0</v>
      </c>
      <c r="H20" s="401">
        <v>3</v>
      </c>
      <c r="I20" s="401">
        <v>2</v>
      </c>
      <c r="J20" s="401">
        <v>1</v>
      </c>
      <c r="K20" s="401">
        <v>3</v>
      </c>
      <c r="L20" s="401">
        <v>0</v>
      </c>
      <c r="M20" s="8">
        <f t="shared" si="0"/>
        <v>11</v>
      </c>
      <c r="N20" s="202" t="s">
        <v>259</v>
      </c>
    </row>
    <row r="21" spans="1:14" ht="16.5" customHeight="1" thickBot="1">
      <c r="A21" s="201" t="s">
        <v>258</v>
      </c>
      <c r="B21" s="401">
        <v>0</v>
      </c>
      <c r="C21" s="401">
        <v>0</v>
      </c>
      <c r="D21" s="401">
        <v>1</v>
      </c>
      <c r="E21" s="401">
        <v>0</v>
      </c>
      <c r="F21" s="401">
        <v>0</v>
      </c>
      <c r="G21" s="401">
        <v>0</v>
      </c>
      <c r="H21" s="401">
        <v>1</v>
      </c>
      <c r="I21" s="401">
        <v>0</v>
      </c>
      <c r="J21" s="401">
        <v>0</v>
      </c>
      <c r="K21" s="401">
        <v>1</v>
      </c>
      <c r="L21" s="401">
        <v>0</v>
      </c>
      <c r="M21" s="8">
        <f t="shared" si="0"/>
        <v>3</v>
      </c>
      <c r="N21" s="202" t="s">
        <v>258</v>
      </c>
    </row>
    <row r="22" spans="1:14" ht="16.5" customHeight="1" thickBot="1">
      <c r="A22" s="203" t="s">
        <v>19</v>
      </c>
      <c r="B22" s="402">
        <v>0</v>
      </c>
      <c r="C22" s="402">
        <v>0</v>
      </c>
      <c r="D22" s="402">
        <v>0</v>
      </c>
      <c r="E22" s="402">
        <v>0</v>
      </c>
      <c r="F22" s="402">
        <v>0</v>
      </c>
      <c r="G22" s="402">
        <v>0</v>
      </c>
      <c r="H22" s="402">
        <v>0</v>
      </c>
      <c r="I22" s="402">
        <v>0</v>
      </c>
      <c r="J22" s="402">
        <v>0</v>
      </c>
      <c r="K22" s="402">
        <v>0</v>
      </c>
      <c r="L22" s="402">
        <v>0</v>
      </c>
      <c r="M22" s="8">
        <f t="shared" si="0"/>
        <v>0</v>
      </c>
      <c r="N22" s="204" t="s">
        <v>20</v>
      </c>
    </row>
    <row r="23" spans="1:14" ht="27.75" customHeight="1">
      <c r="A23" s="178" t="s">
        <v>21</v>
      </c>
      <c r="B23" s="172">
        <f t="shared" ref="B23:M23" si="1">SUM(B9:B22)</f>
        <v>52</v>
      </c>
      <c r="C23" s="172">
        <f t="shared" si="1"/>
        <v>274</v>
      </c>
      <c r="D23" s="172">
        <f t="shared" si="1"/>
        <v>352</v>
      </c>
      <c r="E23" s="172">
        <f t="shared" si="1"/>
        <v>232</v>
      </c>
      <c r="F23" s="172">
        <f t="shared" si="1"/>
        <v>172</v>
      </c>
      <c r="G23" s="172">
        <f t="shared" si="1"/>
        <v>81</v>
      </c>
      <c r="H23" s="172">
        <f t="shared" si="1"/>
        <v>67</v>
      </c>
      <c r="I23" s="172">
        <f t="shared" si="1"/>
        <v>39</v>
      </c>
      <c r="J23" s="172">
        <f t="shared" si="1"/>
        <v>29</v>
      </c>
      <c r="K23" s="172">
        <f t="shared" si="1"/>
        <v>9</v>
      </c>
      <c r="L23" s="172">
        <f t="shared" si="1"/>
        <v>0</v>
      </c>
      <c r="M23" s="172">
        <f t="shared" si="1"/>
        <v>1307</v>
      </c>
      <c r="N23" s="200" t="s">
        <v>176</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Normal="100" zoomScaleSheetLayoutView="100" workbookViewId="0">
      <selection activeCell="G17" sqref="G17"/>
    </sheetView>
  </sheetViews>
  <sheetFormatPr defaultColWidth="9.140625" defaultRowHeight="12.75"/>
  <cols>
    <col min="1" max="1" width="52.7109375" style="1" customWidth="1"/>
    <col min="2" max="16384" width="9.140625" style="1"/>
  </cols>
  <sheetData/>
  <printOptions horizontalCentered="1" verticalCentered="1"/>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
  <sheetViews>
    <sheetView rightToLeft="1" view="pageBreakPreview" zoomScaleNormal="100" zoomScaleSheetLayoutView="100" workbookViewId="0">
      <selection activeCell="M19" sqref="M19"/>
    </sheetView>
  </sheetViews>
  <sheetFormatPr defaultColWidth="9.140625" defaultRowHeight="12.75"/>
  <cols>
    <col min="1" max="1" width="19.28515625" style="1" customWidth="1"/>
    <col min="2" max="13" width="6.85546875" style="1" customWidth="1"/>
    <col min="14" max="14" width="5.28515625" style="1" customWidth="1"/>
    <col min="15" max="15" width="10.140625" style="1" customWidth="1"/>
    <col min="16" max="16" width="8" style="1" customWidth="1"/>
    <col min="17" max="17" width="20.5703125" style="1" customWidth="1"/>
    <col min="18" max="16384" width="9.140625" style="1"/>
  </cols>
  <sheetData>
    <row r="1" spans="1:21" s="2" customFormat="1" ht="21.75" customHeight="1">
      <c r="A1" s="934" t="s">
        <v>569</v>
      </c>
      <c r="B1" s="934"/>
      <c r="C1" s="934"/>
      <c r="D1" s="934"/>
      <c r="E1" s="934"/>
      <c r="F1" s="934"/>
      <c r="G1" s="934"/>
      <c r="H1" s="934"/>
      <c r="I1" s="934"/>
      <c r="J1" s="934"/>
      <c r="K1" s="934"/>
      <c r="L1" s="934"/>
      <c r="M1" s="934"/>
      <c r="N1" s="934"/>
      <c r="O1" s="934"/>
      <c r="P1" s="934"/>
      <c r="Q1" s="934"/>
      <c r="R1" s="127"/>
      <c r="S1" s="127"/>
    </row>
    <row r="2" spans="1:21" s="2" customFormat="1" ht="15.75" customHeight="1">
      <c r="A2" s="959" t="s">
        <v>568</v>
      </c>
      <c r="B2" s="959"/>
      <c r="C2" s="959"/>
      <c r="D2" s="959"/>
      <c r="E2" s="959"/>
      <c r="F2" s="959"/>
      <c r="G2" s="959"/>
      <c r="H2" s="959"/>
      <c r="I2" s="959"/>
      <c r="J2" s="959"/>
      <c r="K2" s="959"/>
      <c r="L2" s="959"/>
      <c r="M2" s="959"/>
      <c r="N2" s="959"/>
      <c r="O2" s="959"/>
      <c r="P2" s="959"/>
      <c r="Q2" s="959"/>
      <c r="R2" s="126"/>
      <c r="S2" s="126"/>
    </row>
    <row r="3" spans="1:21" s="2" customFormat="1" ht="18" customHeight="1">
      <c r="A3" s="959">
        <v>2015</v>
      </c>
      <c r="B3" s="959"/>
      <c r="C3" s="959"/>
      <c r="D3" s="959"/>
      <c r="E3" s="959"/>
      <c r="F3" s="959"/>
      <c r="G3" s="959"/>
      <c r="H3" s="959"/>
      <c r="I3" s="959"/>
      <c r="J3" s="959"/>
      <c r="K3" s="959"/>
      <c r="L3" s="959"/>
      <c r="M3" s="959"/>
      <c r="N3" s="959"/>
      <c r="O3" s="959"/>
      <c r="P3" s="959"/>
      <c r="Q3" s="959"/>
      <c r="R3" s="125"/>
      <c r="S3" s="125"/>
      <c r="T3" s="125"/>
      <c r="U3" s="125"/>
    </row>
    <row r="4" spans="1:21" s="2" customFormat="1" ht="15.75">
      <c r="A4" s="959"/>
      <c r="B4" s="959"/>
      <c r="C4" s="959"/>
      <c r="D4" s="959"/>
      <c r="E4" s="959"/>
      <c r="F4" s="959"/>
      <c r="G4" s="959"/>
      <c r="H4" s="959"/>
      <c r="I4" s="959"/>
      <c r="J4" s="959"/>
      <c r="K4" s="959"/>
      <c r="L4" s="959"/>
      <c r="M4" s="959"/>
      <c r="N4" s="959"/>
      <c r="O4" s="959"/>
      <c r="P4" s="959"/>
      <c r="Q4" s="959"/>
    </row>
    <row r="5" spans="1:21" s="93" customFormat="1" ht="15.75">
      <c r="A5" s="648" t="s">
        <v>882</v>
      </c>
      <c r="B5" s="649"/>
      <c r="C5" s="649"/>
      <c r="D5" s="649"/>
      <c r="E5" s="649"/>
      <c r="F5" s="649"/>
      <c r="G5" s="649"/>
      <c r="H5" s="649"/>
      <c r="I5" s="649"/>
      <c r="J5" s="649"/>
      <c r="K5" s="649"/>
      <c r="L5" s="649"/>
      <c r="M5" s="649"/>
      <c r="N5" s="649"/>
      <c r="O5" s="649"/>
      <c r="P5" s="649"/>
      <c r="Q5" s="650" t="s">
        <v>883</v>
      </c>
    </row>
    <row r="6" spans="1:21" ht="26.25" customHeight="1" thickBot="1">
      <c r="A6" s="985" t="s">
        <v>251</v>
      </c>
      <c r="B6" s="969" t="s">
        <v>972</v>
      </c>
      <c r="C6" s="1057"/>
      <c r="D6" s="1057"/>
      <c r="E6" s="1057"/>
      <c r="F6" s="1057"/>
      <c r="G6" s="1057"/>
      <c r="H6" s="1057"/>
      <c r="I6" s="1057"/>
      <c r="J6" s="1057"/>
      <c r="K6" s="1057"/>
      <c r="L6" s="1057"/>
      <c r="M6" s="1057"/>
      <c r="N6" s="1057"/>
      <c r="O6" s="1057"/>
      <c r="P6" s="1057"/>
      <c r="Q6" s="987" t="s">
        <v>248</v>
      </c>
    </row>
    <row r="7" spans="1:21" ht="37.5" customHeight="1">
      <c r="A7" s="986" t="s">
        <v>251</v>
      </c>
      <c r="B7" s="577">
        <v>-20</v>
      </c>
      <c r="C7" s="577" t="s">
        <v>269</v>
      </c>
      <c r="D7" s="577" t="s">
        <v>268</v>
      </c>
      <c r="E7" s="577" t="s">
        <v>267</v>
      </c>
      <c r="F7" s="577" t="s">
        <v>266</v>
      </c>
      <c r="G7" s="577" t="s">
        <v>265</v>
      </c>
      <c r="H7" s="577" t="s">
        <v>264</v>
      </c>
      <c r="I7" s="577" t="s">
        <v>263</v>
      </c>
      <c r="J7" s="577" t="s">
        <v>262</v>
      </c>
      <c r="K7" s="577" t="s">
        <v>261</v>
      </c>
      <c r="L7" s="577" t="s">
        <v>260</v>
      </c>
      <c r="M7" s="577" t="s">
        <v>259</v>
      </c>
      <c r="N7" s="577" t="s">
        <v>258</v>
      </c>
      <c r="O7" s="586" t="s">
        <v>257</v>
      </c>
      <c r="P7" s="583" t="s">
        <v>256</v>
      </c>
      <c r="Q7" s="988"/>
    </row>
    <row r="8" spans="1:21" ht="30.75" customHeight="1" thickBot="1">
      <c r="A8" s="219" t="s">
        <v>240</v>
      </c>
      <c r="B8" s="84">
        <v>1</v>
      </c>
      <c r="C8" s="84">
        <v>113</v>
      </c>
      <c r="D8" s="84">
        <v>226</v>
      </c>
      <c r="E8" s="84">
        <v>162</v>
      </c>
      <c r="F8" s="84">
        <v>90</v>
      </c>
      <c r="G8" s="84">
        <v>63</v>
      </c>
      <c r="H8" s="84">
        <v>56</v>
      </c>
      <c r="I8" s="84">
        <v>35</v>
      </c>
      <c r="J8" s="84">
        <v>22</v>
      </c>
      <c r="K8" s="84">
        <v>19</v>
      </c>
      <c r="L8" s="84">
        <v>10</v>
      </c>
      <c r="M8" s="84">
        <v>9</v>
      </c>
      <c r="N8" s="84">
        <v>1</v>
      </c>
      <c r="O8" s="84">
        <v>0</v>
      </c>
      <c r="P8" s="83">
        <f>SUM(B8:O8)</f>
        <v>807</v>
      </c>
      <c r="Q8" s="109" t="s">
        <v>239</v>
      </c>
    </row>
    <row r="9" spans="1:21" ht="30.75" customHeight="1" thickBot="1">
      <c r="A9" s="403" t="s">
        <v>238</v>
      </c>
      <c r="B9" s="396">
        <v>0</v>
      </c>
      <c r="C9" s="396">
        <v>11</v>
      </c>
      <c r="D9" s="396">
        <v>16</v>
      </c>
      <c r="E9" s="396">
        <v>15</v>
      </c>
      <c r="F9" s="396">
        <v>13</v>
      </c>
      <c r="G9" s="396">
        <v>8</v>
      </c>
      <c r="H9" s="396">
        <v>4</v>
      </c>
      <c r="I9" s="396">
        <v>3</v>
      </c>
      <c r="J9" s="396">
        <v>1</v>
      </c>
      <c r="K9" s="396">
        <v>2</v>
      </c>
      <c r="L9" s="396">
        <v>0</v>
      </c>
      <c r="M9" s="396">
        <v>0</v>
      </c>
      <c r="N9" s="396">
        <v>0</v>
      </c>
      <c r="O9" s="396">
        <v>0</v>
      </c>
      <c r="P9" s="83">
        <f t="shared" ref="P9:P13" si="0">SUM(B9:O9)</f>
        <v>73</v>
      </c>
      <c r="Q9" s="186" t="s">
        <v>746</v>
      </c>
    </row>
    <row r="10" spans="1:21" ht="30.75" customHeight="1" thickBot="1">
      <c r="A10" s="403" t="s">
        <v>236</v>
      </c>
      <c r="B10" s="396">
        <v>0</v>
      </c>
      <c r="C10" s="396">
        <v>7</v>
      </c>
      <c r="D10" s="396">
        <v>66</v>
      </c>
      <c r="E10" s="396">
        <v>70</v>
      </c>
      <c r="F10" s="396">
        <v>74</v>
      </c>
      <c r="G10" s="396">
        <v>36</v>
      </c>
      <c r="H10" s="396">
        <v>37</v>
      </c>
      <c r="I10" s="396">
        <v>19</v>
      </c>
      <c r="J10" s="396">
        <v>15</v>
      </c>
      <c r="K10" s="396">
        <v>9</v>
      </c>
      <c r="L10" s="396">
        <v>3</v>
      </c>
      <c r="M10" s="396">
        <v>2</v>
      </c>
      <c r="N10" s="396">
        <v>2</v>
      </c>
      <c r="O10" s="396">
        <v>0</v>
      </c>
      <c r="P10" s="83">
        <f t="shared" si="0"/>
        <v>340</v>
      </c>
      <c r="Q10" s="186" t="s">
        <v>747</v>
      </c>
    </row>
    <row r="11" spans="1:21" ht="30.75" customHeight="1" thickBot="1">
      <c r="A11" s="403" t="s">
        <v>506</v>
      </c>
      <c r="B11" s="396">
        <v>0</v>
      </c>
      <c r="C11" s="396">
        <v>1</v>
      </c>
      <c r="D11" s="396">
        <v>13</v>
      </c>
      <c r="E11" s="396">
        <v>16</v>
      </c>
      <c r="F11" s="396">
        <v>6</v>
      </c>
      <c r="G11" s="396">
        <v>5</v>
      </c>
      <c r="H11" s="396">
        <v>2</v>
      </c>
      <c r="I11" s="396">
        <v>2</v>
      </c>
      <c r="J11" s="396">
        <v>1</v>
      </c>
      <c r="K11" s="396">
        <v>0</v>
      </c>
      <c r="L11" s="396">
        <v>0</v>
      </c>
      <c r="M11" s="396">
        <v>0</v>
      </c>
      <c r="N11" s="396">
        <v>0</v>
      </c>
      <c r="O11" s="396">
        <v>0</v>
      </c>
      <c r="P11" s="83">
        <f t="shared" si="0"/>
        <v>46</v>
      </c>
      <c r="Q11" s="186" t="s">
        <v>748</v>
      </c>
    </row>
    <row r="12" spans="1:21" ht="30.75" customHeight="1" thickBot="1">
      <c r="A12" s="403" t="s">
        <v>505</v>
      </c>
      <c r="B12" s="396">
        <v>0</v>
      </c>
      <c r="C12" s="396">
        <v>0</v>
      </c>
      <c r="D12" s="396">
        <v>2</v>
      </c>
      <c r="E12" s="396">
        <v>3</v>
      </c>
      <c r="F12" s="396">
        <v>2</v>
      </c>
      <c r="G12" s="396">
        <v>3</v>
      </c>
      <c r="H12" s="396">
        <v>2</v>
      </c>
      <c r="I12" s="396">
        <v>1</v>
      </c>
      <c r="J12" s="396">
        <v>1</v>
      </c>
      <c r="K12" s="396">
        <v>1</v>
      </c>
      <c r="L12" s="396">
        <v>0</v>
      </c>
      <c r="M12" s="396">
        <v>0</v>
      </c>
      <c r="N12" s="396">
        <v>0</v>
      </c>
      <c r="O12" s="396">
        <v>0</v>
      </c>
      <c r="P12" s="83">
        <f t="shared" si="0"/>
        <v>15</v>
      </c>
      <c r="Q12" s="186" t="s">
        <v>749</v>
      </c>
    </row>
    <row r="13" spans="1:21" ht="30.75" customHeight="1" thickBot="1">
      <c r="A13" s="320" t="s">
        <v>765</v>
      </c>
      <c r="B13" s="397">
        <v>0</v>
      </c>
      <c r="C13" s="397">
        <v>1</v>
      </c>
      <c r="D13" s="397">
        <v>8</v>
      </c>
      <c r="E13" s="397">
        <v>3</v>
      </c>
      <c r="F13" s="397">
        <v>3</v>
      </c>
      <c r="G13" s="397">
        <v>3</v>
      </c>
      <c r="H13" s="397">
        <v>3</v>
      </c>
      <c r="I13" s="397">
        <v>4</v>
      </c>
      <c r="J13" s="397">
        <v>0</v>
      </c>
      <c r="K13" s="397">
        <v>1</v>
      </c>
      <c r="L13" s="397">
        <v>0</v>
      </c>
      <c r="M13" s="397">
        <v>0</v>
      </c>
      <c r="N13" s="397">
        <v>0</v>
      </c>
      <c r="O13" s="397">
        <v>0</v>
      </c>
      <c r="P13" s="83">
        <f t="shared" si="0"/>
        <v>26</v>
      </c>
      <c r="Q13" s="187" t="s">
        <v>750</v>
      </c>
    </row>
    <row r="14" spans="1:21" ht="33" customHeight="1">
      <c r="A14" s="178" t="s">
        <v>21</v>
      </c>
      <c r="B14" s="172">
        <f t="shared" ref="B14:P14" si="1">SUM(B8:B13)</f>
        <v>1</v>
      </c>
      <c r="C14" s="172">
        <f t="shared" si="1"/>
        <v>133</v>
      </c>
      <c r="D14" s="172">
        <f t="shared" si="1"/>
        <v>331</v>
      </c>
      <c r="E14" s="172">
        <f t="shared" si="1"/>
        <v>269</v>
      </c>
      <c r="F14" s="172">
        <f t="shared" si="1"/>
        <v>188</v>
      </c>
      <c r="G14" s="172">
        <f t="shared" si="1"/>
        <v>118</v>
      </c>
      <c r="H14" s="172">
        <f t="shared" si="1"/>
        <v>104</v>
      </c>
      <c r="I14" s="172">
        <f t="shared" si="1"/>
        <v>64</v>
      </c>
      <c r="J14" s="172">
        <f t="shared" si="1"/>
        <v>40</v>
      </c>
      <c r="K14" s="172">
        <f t="shared" si="1"/>
        <v>32</v>
      </c>
      <c r="L14" s="172">
        <f t="shared" si="1"/>
        <v>13</v>
      </c>
      <c r="M14" s="172">
        <f t="shared" si="1"/>
        <v>11</v>
      </c>
      <c r="N14" s="172">
        <f t="shared" si="1"/>
        <v>3</v>
      </c>
      <c r="O14" s="172">
        <f t="shared" si="1"/>
        <v>0</v>
      </c>
      <c r="P14" s="172">
        <f t="shared" si="1"/>
        <v>1307</v>
      </c>
      <c r="Q14" s="179" t="s">
        <v>176</v>
      </c>
    </row>
  </sheetData>
  <mergeCells count="7">
    <mergeCell ref="A6:A7"/>
    <mergeCell ref="B6:P6"/>
    <mergeCell ref="Q6:Q7"/>
    <mergeCell ref="A1:Q1"/>
    <mergeCell ref="A2:Q2"/>
    <mergeCell ref="A3:Q3"/>
    <mergeCell ref="A4:Q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
  <sheetViews>
    <sheetView rightToLeft="1" view="pageBreakPreview" zoomScaleNormal="100" zoomScaleSheetLayoutView="100" workbookViewId="0">
      <selection activeCell="L19" sqref="L19"/>
    </sheetView>
  </sheetViews>
  <sheetFormatPr defaultColWidth="9.140625" defaultRowHeight="12.75"/>
  <cols>
    <col min="1" max="1" width="19.28515625" style="1" customWidth="1"/>
    <col min="2" max="2" width="8.7109375" style="1" customWidth="1"/>
    <col min="3" max="3" width="7.5703125" style="1" customWidth="1"/>
    <col min="4" max="4" width="7.7109375" style="1" customWidth="1"/>
    <col min="5" max="5" width="7.85546875" style="1" customWidth="1"/>
    <col min="6" max="6" width="7.42578125" style="1" customWidth="1"/>
    <col min="7" max="7" width="7.7109375" style="1" customWidth="1"/>
    <col min="8" max="8" width="7.85546875" style="1" customWidth="1"/>
    <col min="9" max="9" width="7.7109375" style="1" customWidth="1"/>
    <col min="10" max="10" width="7.85546875" style="1" customWidth="1"/>
    <col min="11" max="11" width="6.42578125" style="1" customWidth="1"/>
    <col min="12" max="12" width="11.5703125" style="1" customWidth="1"/>
    <col min="13" max="13" width="13.42578125" style="1" customWidth="1"/>
    <col min="14" max="14" width="21.42578125" style="1" customWidth="1"/>
    <col min="15" max="16384" width="9.140625" style="1"/>
  </cols>
  <sheetData>
    <row r="1" spans="1:18" s="2" customFormat="1" ht="21.75" customHeight="1">
      <c r="A1" s="1058" t="s">
        <v>571</v>
      </c>
      <c r="B1" s="1058"/>
      <c r="C1" s="1058"/>
      <c r="D1" s="1058"/>
      <c r="E1" s="1058"/>
      <c r="F1" s="1058"/>
      <c r="G1" s="1058"/>
      <c r="H1" s="1058"/>
      <c r="I1" s="1058"/>
      <c r="J1" s="1058"/>
      <c r="K1" s="1058"/>
      <c r="L1" s="1058"/>
      <c r="M1" s="1058"/>
      <c r="N1" s="1058"/>
      <c r="O1" s="127"/>
      <c r="P1" s="127"/>
    </row>
    <row r="2" spans="1:18" s="2" customFormat="1" ht="15.75" customHeight="1">
      <c r="A2" s="1059" t="s">
        <v>570</v>
      </c>
      <c r="B2" s="1059"/>
      <c r="C2" s="1059"/>
      <c r="D2" s="1059"/>
      <c r="E2" s="1059"/>
      <c r="F2" s="1059"/>
      <c r="G2" s="1059"/>
      <c r="H2" s="1059"/>
      <c r="I2" s="1059"/>
      <c r="J2" s="1059"/>
      <c r="K2" s="1059"/>
      <c r="L2" s="1059"/>
      <c r="M2" s="1059"/>
      <c r="N2" s="1059"/>
      <c r="O2" s="126"/>
      <c r="P2" s="126"/>
    </row>
    <row r="3" spans="1:18" s="2" customFormat="1" ht="18" customHeight="1">
      <c r="A3" s="1059">
        <v>2015</v>
      </c>
      <c r="B3" s="1059"/>
      <c r="C3" s="1059"/>
      <c r="D3" s="1059"/>
      <c r="E3" s="1059"/>
      <c r="F3" s="1059"/>
      <c r="G3" s="1059"/>
      <c r="H3" s="1059"/>
      <c r="I3" s="1059"/>
      <c r="J3" s="1059"/>
      <c r="K3" s="1059"/>
      <c r="L3" s="1059"/>
      <c r="M3" s="1059"/>
      <c r="N3" s="1059"/>
      <c r="O3" s="125"/>
      <c r="P3" s="125"/>
      <c r="Q3" s="125"/>
      <c r="R3" s="125"/>
    </row>
    <row r="4" spans="1:18" s="2" customFormat="1" ht="15.75">
      <c r="A4" s="1059"/>
      <c r="B4" s="1059"/>
      <c r="C4" s="1059"/>
      <c r="D4" s="1059"/>
      <c r="E4" s="1059"/>
      <c r="F4" s="1059"/>
      <c r="G4" s="1059"/>
      <c r="H4" s="1059"/>
      <c r="I4" s="1059"/>
      <c r="J4" s="1059"/>
      <c r="K4" s="1059"/>
      <c r="L4" s="1059"/>
      <c r="M4" s="1059"/>
      <c r="N4" s="1059"/>
    </row>
    <row r="5" spans="1:18" s="93" customFormat="1" ht="15.75">
      <c r="A5" s="4" t="s">
        <v>633</v>
      </c>
      <c r="B5" s="124"/>
      <c r="C5" s="124"/>
      <c r="D5" s="124"/>
      <c r="E5" s="124"/>
      <c r="F5" s="124"/>
      <c r="G5" s="124"/>
      <c r="H5" s="124"/>
      <c r="I5" s="124"/>
      <c r="J5" s="124"/>
      <c r="K5" s="124"/>
      <c r="L5" s="124"/>
      <c r="M5" s="124"/>
      <c r="N5" s="6" t="s">
        <v>634</v>
      </c>
    </row>
    <row r="6" spans="1:18" ht="26.25" customHeight="1" thickBot="1">
      <c r="A6" s="985" t="s">
        <v>279</v>
      </c>
      <c r="B6" s="969" t="s">
        <v>278</v>
      </c>
      <c r="C6" s="1057"/>
      <c r="D6" s="1057"/>
      <c r="E6" s="1057"/>
      <c r="F6" s="1057"/>
      <c r="G6" s="1057"/>
      <c r="H6" s="1057"/>
      <c r="I6" s="1057"/>
      <c r="J6" s="1057"/>
      <c r="K6" s="1057"/>
      <c r="L6" s="1057"/>
      <c r="M6" s="1057"/>
      <c r="N6" s="987" t="s">
        <v>277</v>
      </c>
    </row>
    <row r="7" spans="1:18" ht="37.5" customHeight="1">
      <c r="A7" s="986" t="s">
        <v>251</v>
      </c>
      <c r="B7" s="577">
        <v>-20</v>
      </c>
      <c r="C7" s="577" t="s">
        <v>269</v>
      </c>
      <c r="D7" s="577" t="s">
        <v>268</v>
      </c>
      <c r="E7" s="577" t="s">
        <v>267</v>
      </c>
      <c r="F7" s="577" t="s">
        <v>266</v>
      </c>
      <c r="G7" s="577" t="s">
        <v>265</v>
      </c>
      <c r="H7" s="577" t="s">
        <v>264</v>
      </c>
      <c r="I7" s="577" t="s">
        <v>263</v>
      </c>
      <c r="J7" s="577" t="s">
        <v>262</v>
      </c>
      <c r="K7" s="577" t="s">
        <v>275</v>
      </c>
      <c r="L7" s="586" t="s">
        <v>257</v>
      </c>
      <c r="M7" s="583" t="s">
        <v>256</v>
      </c>
      <c r="N7" s="988"/>
    </row>
    <row r="8" spans="1:18" ht="27" customHeight="1" thickBot="1">
      <c r="A8" s="404" t="s">
        <v>240</v>
      </c>
      <c r="B8" s="152">
        <v>31</v>
      </c>
      <c r="C8" s="152">
        <v>182</v>
      </c>
      <c r="D8" s="152">
        <v>180</v>
      </c>
      <c r="E8" s="152">
        <v>104</v>
      </c>
      <c r="F8" s="152">
        <v>74</v>
      </c>
      <c r="G8" s="152">
        <v>46</v>
      </c>
      <c r="H8" s="152">
        <v>41</v>
      </c>
      <c r="I8" s="152">
        <v>22</v>
      </c>
      <c r="J8" s="152">
        <v>20</v>
      </c>
      <c r="K8" s="152">
        <v>6</v>
      </c>
      <c r="L8" s="152">
        <v>0</v>
      </c>
      <c r="M8" s="8">
        <f>SUM(B8:L8)</f>
        <v>706</v>
      </c>
      <c r="N8" s="109" t="s">
        <v>239</v>
      </c>
    </row>
    <row r="9" spans="1:18" ht="27" customHeight="1" thickBot="1">
      <c r="A9" s="405" t="s">
        <v>238</v>
      </c>
      <c r="B9" s="401">
        <v>6</v>
      </c>
      <c r="C9" s="401">
        <v>35</v>
      </c>
      <c r="D9" s="401">
        <v>46</v>
      </c>
      <c r="E9" s="401">
        <v>27</v>
      </c>
      <c r="F9" s="401">
        <v>25</v>
      </c>
      <c r="G9" s="401">
        <v>2</v>
      </c>
      <c r="H9" s="401">
        <v>3</v>
      </c>
      <c r="I9" s="401">
        <v>2</v>
      </c>
      <c r="J9" s="401">
        <v>2</v>
      </c>
      <c r="K9" s="401">
        <v>0</v>
      </c>
      <c r="L9" s="401">
        <v>0</v>
      </c>
      <c r="M9" s="8">
        <f t="shared" ref="M9:M13" si="0">SUM(B9:L9)</f>
        <v>148</v>
      </c>
      <c r="N9" s="186" t="s">
        <v>746</v>
      </c>
    </row>
    <row r="10" spans="1:18" ht="27" customHeight="1" thickBot="1">
      <c r="A10" s="405" t="s">
        <v>236</v>
      </c>
      <c r="B10" s="401">
        <v>12</v>
      </c>
      <c r="C10" s="401">
        <v>43</v>
      </c>
      <c r="D10" s="401">
        <v>93</v>
      </c>
      <c r="E10" s="401">
        <v>79</v>
      </c>
      <c r="F10" s="401">
        <v>54</v>
      </c>
      <c r="G10" s="401">
        <v>24</v>
      </c>
      <c r="H10" s="401">
        <v>17</v>
      </c>
      <c r="I10" s="401">
        <v>9</v>
      </c>
      <c r="J10" s="401">
        <v>7</v>
      </c>
      <c r="K10" s="401">
        <v>1</v>
      </c>
      <c r="L10" s="401">
        <v>0</v>
      </c>
      <c r="M10" s="8">
        <f t="shared" si="0"/>
        <v>339</v>
      </c>
      <c r="N10" s="186" t="s">
        <v>747</v>
      </c>
    </row>
    <row r="11" spans="1:18" ht="27" customHeight="1" thickBot="1">
      <c r="A11" s="405" t="s">
        <v>506</v>
      </c>
      <c r="B11" s="401">
        <v>3</v>
      </c>
      <c r="C11" s="401">
        <v>9</v>
      </c>
      <c r="D11" s="401">
        <v>21</v>
      </c>
      <c r="E11" s="401">
        <v>14</v>
      </c>
      <c r="F11" s="401">
        <v>13</v>
      </c>
      <c r="G11" s="401">
        <v>4</v>
      </c>
      <c r="H11" s="401">
        <v>2</v>
      </c>
      <c r="I11" s="401">
        <v>4</v>
      </c>
      <c r="J11" s="401">
        <v>0</v>
      </c>
      <c r="K11" s="401">
        <v>0</v>
      </c>
      <c r="L11" s="401">
        <v>0</v>
      </c>
      <c r="M11" s="8">
        <f t="shared" si="0"/>
        <v>70</v>
      </c>
      <c r="N11" s="186" t="s">
        <v>748</v>
      </c>
    </row>
    <row r="12" spans="1:18" ht="27" customHeight="1" thickBot="1">
      <c r="A12" s="405" t="s">
        <v>505</v>
      </c>
      <c r="B12" s="401">
        <v>0</v>
      </c>
      <c r="C12" s="401">
        <v>1</v>
      </c>
      <c r="D12" s="401">
        <v>7</v>
      </c>
      <c r="E12" s="401">
        <v>6</v>
      </c>
      <c r="F12" s="401">
        <v>0</v>
      </c>
      <c r="G12" s="401">
        <v>2</v>
      </c>
      <c r="H12" s="401">
        <v>2</v>
      </c>
      <c r="I12" s="401">
        <v>2</v>
      </c>
      <c r="J12" s="401">
        <v>0</v>
      </c>
      <c r="K12" s="401">
        <v>1</v>
      </c>
      <c r="L12" s="401">
        <v>0</v>
      </c>
      <c r="M12" s="8">
        <f t="shared" si="0"/>
        <v>21</v>
      </c>
      <c r="N12" s="186" t="s">
        <v>749</v>
      </c>
    </row>
    <row r="13" spans="1:18" ht="27" customHeight="1" thickBot="1">
      <c r="A13" s="406" t="s">
        <v>765</v>
      </c>
      <c r="B13" s="402">
        <v>0</v>
      </c>
      <c r="C13" s="402">
        <v>4</v>
      </c>
      <c r="D13" s="402">
        <v>5</v>
      </c>
      <c r="E13" s="402">
        <v>2</v>
      </c>
      <c r="F13" s="402">
        <v>6</v>
      </c>
      <c r="G13" s="402">
        <v>3</v>
      </c>
      <c r="H13" s="402">
        <v>2</v>
      </c>
      <c r="I13" s="402">
        <v>0</v>
      </c>
      <c r="J13" s="402">
        <v>0</v>
      </c>
      <c r="K13" s="402">
        <v>1</v>
      </c>
      <c r="L13" s="402">
        <v>0</v>
      </c>
      <c r="M13" s="8">
        <f t="shared" si="0"/>
        <v>23</v>
      </c>
      <c r="N13" s="187" t="s">
        <v>750</v>
      </c>
    </row>
    <row r="14" spans="1:18" ht="33" customHeight="1">
      <c r="A14" s="178" t="s">
        <v>21</v>
      </c>
      <c r="B14" s="172">
        <f t="shared" ref="B14:M14" si="1">SUM(B8:B13)</f>
        <v>52</v>
      </c>
      <c r="C14" s="172">
        <f t="shared" si="1"/>
        <v>274</v>
      </c>
      <c r="D14" s="172">
        <f t="shared" si="1"/>
        <v>352</v>
      </c>
      <c r="E14" s="172">
        <f t="shared" si="1"/>
        <v>232</v>
      </c>
      <c r="F14" s="172">
        <f t="shared" si="1"/>
        <v>172</v>
      </c>
      <c r="G14" s="172">
        <f t="shared" si="1"/>
        <v>81</v>
      </c>
      <c r="H14" s="172">
        <f t="shared" si="1"/>
        <v>67</v>
      </c>
      <c r="I14" s="172">
        <f t="shared" si="1"/>
        <v>39</v>
      </c>
      <c r="J14" s="172">
        <f t="shared" si="1"/>
        <v>29</v>
      </c>
      <c r="K14" s="172">
        <f t="shared" si="1"/>
        <v>9</v>
      </c>
      <c r="L14" s="172">
        <f t="shared" si="1"/>
        <v>0</v>
      </c>
      <c r="M14" s="172">
        <f t="shared" si="1"/>
        <v>1307</v>
      </c>
      <c r="N14" s="179" t="s">
        <v>176</v>
      </c>
    </row>
  </sheetData>
  <mergeCells count="7">
    <mergeCell ref="A6:A7"/>
    <mergeCell ref="B6:M6"/>
    <mergeCell ref="N6:N7"/>
    <mergeCell ref="A1:N1"/>
    <mergeCell ref="A2:N2"/>
    <mergeCell ref="A3:N3"/>
    <mergeCell ref="A4:N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rightToLeft="1" view="pageBreakPreview" zoomScaleNormal="100" zoomScaleSheetLayoutView="100" workbookViewId="0">
      <selection activeCell="H13" sqref="H13"/>
    </sheetView>
  </sheetViews>
  <sheetFormatPr defaultColWidth="9.140625" defaultRowHeight="12.75"/>
  <cols>
    <col min="1" max="1" width="20.5703125" style="1" customWidth="1"/>
    <col min="2" max="7" width="12.7109375" style="1" customWidth="1"/>
    <col min="8" max="8" width="9.7109375" style="1" customWidth="1"/>
    <col min="9" max="9" width="13.5703125" style="1" customWidth="1"/>
    <col min="10" max="10" width="22.42578125" style="1" customWidth="1"/>
    <col min="11" max="16384" width="9.140625" style="1"/>
  </cols>
  <sheetData>
    <row r="1" spans="1:10" ht="24" customHeight="1">
      <c r="A1" s="974" t="s">
        <v>574</v>
      </c>
      <c r="B1" s="974"/>
      <c r="C1" s="974"/>
      <c r="D1" s="974"/>
      <c r="E1" s="974"/>
      <c r="F1" s="974"/>
      <c r="G1" s="974"/>
      <c r="H1" s="974"/>
      <c r="I1" s="974"/>
      <c r="J1" s="974"/>
    </row>
    <row r="2" spans="1:10" ht="15.75" customHeight="1">
      <c r="A2" s="983" t="s">
        <v>573</v>
      </c>
      <c r="B2" s="983"/>
      <c r="C2" s="983"/>
      <c r="D2" s="983"/>
      <c r="E2" s="983"/>
      <c r="F2" s="983"/>
      <c r="G2" s="983"/>
      <c r="H2" s="983"/>
      <c r="I2" s="983"/>
      <c r="J2" s="983"/>
    </row>
    <row r="3" spans="1:10" ht="15.75" customHeight="1">
      <c r="A3" s="983">
        <v>2015</v>
      </c>
      <c r="B3" s="983"/>
      <c r="C3" s="983"/>
      <c r="D3" s="983"/>
      <c r="E3" s="983"/>
      <c r="F3" s="983"/>
      <c r="G3" s="983"/>
      <c r="H3" s="983"/>
      <c r="I3" s="983"/>
      <c r="J3" s="983"/>
    </row>
    <row r="4" spans="1:10" ht="15.75" customHeight="1">
      <c r="A4" s="647"/>
      <c r="B4" s="647"/>
      <c r="C4" s="647"/>
      <c r="D4" s="647"/>
      <c r="E4" s="647"/>
      <c r="F4" s="647"/>
      <c r="G4" s="647"/>
      <c r="H4" s="647"/>
      <c r="I4" s="647"/>
      <c r="J4" s="647"/>
    </row>
    <row r="5" spans="1:10" ht="16.5">
      <c r="A5" s="636" t="s">
        <v>814</v>
      </c>
      <c r="B5" s="637"/>
      <c r="C5" s="641"/>
      <c r="D5" s="641"/>
      <c r="E5" s="641"/>
      <c r="F5" s="641"/>
      <c r="G5" s="641"/>
      <c r="H5" s="642"/>
      <c r="I5" s="646"/>
      <c r="J5" s="643" t="s">
        <v>815</v>
      </c>
    </row>
    <row r="6" spans="1:10" s="93" customFormat="1" ht="30" customHeight="1" thickBot="1">
      <c r="A6" s="937" t="s">
        <v>251</v>
      </c>
      <c r="B6" s="1026" t="s">
        <v>250</v>
      </c>
      <c r="C6" s="1026"/>
      <c r="D6" s="1026"/>
      <c r="E6" s="1026"/>
      <c r="F6" s="1026"/>
      <c r="G6" s="1026"/>
      <c r="H6" s="1026"/>
      <c r="I6" s="980" t="s">
        <v>249</v>
      </c>
      <c r="J6" s="1028" t="s">
        <v>248</v>
      </c>
    </row>
    <row r="7" spans="1:10" ht="73.5" customHeight="1">
      <c r="A7" s="979"/>
      <c r="B7" s="576" t="s">
        <v>247</v>
      </c>
      <c r="C7" s="576" t="s">
        <v>246</v>
      </c>
      <c r="D7" s="576" t="s">
        <v>245</v>
      </c>
      <c r="E7" s="576" t="s">
        <v>244</v>
      </c>
      <c r="F7" s="576" t="s">
        <v>243</v>
      </c>
      <c r="G7" s="576" t="s">
        <v>242</v>
      </c>
      <c r="H7" s="576" t="s">
        <v>241</v>
      </c>
      <c r="I7" s="981"/>
      <c r="J7" s="1030"/>
    </row>
    <row r="8" spans="1:10" ht="34.5" customHeight="1" thickBot="1">
      <c r="A8" s="306" t="s">
        <v>240</v>
      </c>
      <c r="B8" s="409">
        <v>630</v>
      </c>
      <c r="C8" s="261">
        <v>133</v>
      </c>
      <c r="D8" s="261">
        <v>33</v>
      </c>
      <c r="E8" s="261">
        <v>9</v>
      </c>
      <c r="F8" s="261">
        <v>1</v>
      </c>
      <c r="G8" s="261">
        <v>1</v>
      </c>
      <c r="H8" s="383">
        <f>SUM(B8:G8)</f>
        <v>807</v>
      </c>
      <c r="I8" s="372">
        <f t="shared" ref="I8:I13" si="0">H8/$H$14%</f>
        <v>61.744452945677125</v>
      </c>
      <c r="J8" s="259" t="s">
        <v>239</v>
      </c>
    </row>
    <row r="9" spans="1:10" ht="34.5" customHeight="1" thickBot="1">
      <c r="A9" s="221" t="s">
        <v>238</v>
      </c>
      <c r="B9" s="407">
        <v>61</v>
      </c>
      <c r="C9" s="396">
        <v>8</v>
      </c>
      <c r="D9" s="396">
        <v>2</v>
      </c>
      <c r="E9" s="396">
        <v>1</v>
      </c>
      <c r="F9" s="396">
        <v>1</v>
      </c>
      <c r="G9" s="396">
        <v>0</v>
      </c>
      <c r="H9" s="383">
        <f t="shared" ref="H9:H13" si="1">SUM(B9:G9)</f>
        <v>73</v>
      </c>
      <c r="I9" s="116">
        <f t="shared" si="0"/>
        <v>5.5853098699311401</v>
      </c>
      <c r="J9" s="107" t="s">
        <v>237</v>
      </c>
    </row>
    <row r="10" spans="1:10" ht="34.5" customHeight="1" thickBot="1">
      <c r="A10" s="220" t="s">
        <v>236</v>
      </c>
      <c r="B10" s="407">
        <v>13</v>
      </c>
      <c r="C10" s="396">
        <v>5</v>
      </c>
      <c r="D10" s="396">
        <v>281</v>
      </c>
      <c r="E10" s="396">
        <v>20</v>
      </c>
      <c r="F10" s="396">
        <v>13</v>
      </c>
      <c r="G10" s="396">
        <v>8</v>
      </c>
      <c r="H10" s="383">
        <f t="shared" si="1"/>
        <v>340</v>
      </c>
      <c r="I10" s="115">
        <f t="shared" si="0"/>
        <v>26.013771996939557</v>
      </c>
      <c r="J10" s="106" t="s">
        <v>235</v>
      </c>
    </row>
    <row r="11" spans="1:10" ht="34.5" customHeight="1" thickBot="1">
      <c r="A11" s="221" t="s">
        <v>234</v>
      </c>
      <c r="B11" s="407">
        <v>2</v>
      </c>
      <c r="C11" s="396">
        <v>0</v>
      </c>
      <c r="D11" s="396">
        <v>6</v>
      </c>
      <c r="E11" s="396">
        <v>37</v>
      </c>
      <c r="F11" s="396">
        <v>0</v>
      </c>
      <c r="G11" s="396">
        <v>1</v>
      </c>
      <c r="H11" s="383">
        <f t="shared" si="1"/>
        <v>46</v>
      </c>
      <c r="I11" s="116">
        <f t="shared" si="0"/>
        <v>3.5195103289977046</v>
      </c>
      <c r="J11" s="107" t="s">
        <v>233</v>
      </c>
    </row>
    <row r="12" spans="1:10" ht="34.5" customHeight="1" thickBot="1">
      <c r="A12" s="220" t="s">
        <v>232</v>
      </c>
      <c r="B12" s="407">
        <v>0</v>
      </c>
      <c r="C12" s="396">
        <v>1</v>
      </c>
      <c r="D12" s="396">
        <v>9</v>
      </c>
      <c r="E12" s="396">
        <v>0</v>
      </c>
      <c r="F12" s="396">
        <v>4</v>
      </c>
      <c r="G12" s="396">
        <v>1</v>
      </c>
      <c r="H12" s="383">
        <f t="shared" si="1"/>
        <v>15</v>
      </c>
      <c r="I12" s="115">
        <f t="shared" si="0"/>
        <v>1.1476664116296862</v>
      </c>
      <c r="J12" s="106" t="s">
        <v>231</v>
      </c>
    </row>
    <row r="13" spans="1:10" ht="34.5" customHeight="1" thickBot="1">
      <c r="A13" s="222" t="s">
        <v>230</v>
      </c>
      <c r="B13" s="408">
        <v>0</v>
      </c>
      <c r="C13" s="397">
        <v>1</v>
      </c>
      <c r="D13" s="397">
        <v>8</v>
      </c>
      <c r="E13" s="397">
        <v>3</v>
      </c>
      <c r="F13" s="397">
        <v>2</v>
      </c>
      <c r="G13" s="397">
        <v>12</v>
      </c>
      <c r="H13" s="383">
        <f t="shared" si="1"/>
        <v>26</v>
      </c>
      <c r="I13" s="114">
        <f t="shared" si="0"/>
        <v>1.9892884468247896</v>
      </c>
      <c r="J13" s="104" t="s">
        <v>229</v>
      </c>
    </row>
    <row r="14" spans="1:10" ht="24.75" customHeight="1">
      <c r="A14" s="410" t="s">
        <v>21</v>
      </c>
      <c r="B14" s="411">
        <f>SUM(B8:B13)</f>
        <v>706</v>
      </c>
      <c r="C14" s="411">
        <f>SUM(C8:C13)</f>
        <v>148</v>
      </c>
      <c r="D14" s="411">
        <f>SUM(D8:D13)</f>
        <v>339</v>
      </c>
      <c r="E14" s="411">
        <f t="shared" ref="E14:I14" si="2">SUM(E8:E13)</f>
        <v>70</v>
      </c>
      <c r="F14" s="411">
        <f t="shared" si="2"/>
        <v>21</v>
      </c>
      <c r="G14" s="411">
        <f t="shared" si="2"/>
        <v>23</v>
      </c>
      <c r="H14" s="411">
        <f t="shared" si="2"/>
        <v>1307</v>
      </c>
      <c r="I14" s="412">
        <f t="shared" si="2"/>
        <v>100</v>
      </c>
      <c r="J14" s="413" t="s">
        <v>176</v>
      </c>
    </row>
    <row r="15" spans="1:10" ht="24.75" customHeight="1">
      <c r="A15" s="414" t="s">
        <v>228</v>
      </c>
      <c r="B15" s="415">
        <f t="shared" ref="B15:H15" si="3">B14/$H$14%</f>
        <v>54.016832440703901</v>
      </c>
      <c r="C15" s="415">
        <f t="shared" si="3"/>
        <v>11.323641928079571</v>
      </c>
      <c r="D15" s="415">
        <f t="shared" si="3"/>
        <v>25.937260902830911</v>
      </c>
      <c r="E15" s="415">
        <f t="shared" si="3"/>
        <v>5.3557765876052024</v>
      </c>
      <c r="F15" s="415">
        <f t="shared" si="3"/>
        <v>1.6067329762815608</v>
      </c>
      <c r="G15" s="415">
        <f t="shared" si="3"/>
        <v>1.7597551644988523</v>
      </c>
      <c r="H15" s="415">
        <f t="shared" si="3"/>
        <v>100</v>
      </c>
      <c r="I15" s="416"/>
      <c r="J15" s="417" t="s">
        <v>227</v>
      </c>
    </row>
    <row r="20" spans="1:3" ht="13.5" thickBot="1"/>
    <row r="21" spans="1:3" ht="13.5" thickTop="1">
      <c r="A21" s="155" t="s">
        <v>433</v>
      </c>
      <c r="B21" s="154" t="s">
        <v>392</v>
      </c>
      <c r="C21" s="153" t="s">
        <v>391</v>
      </c>
    </row>
    <row r="22" spans="1:3" ht="25.5">
      <c r="A22" s="111" t="s">
        <v>226</v>
      </c>
      <c r="B22" s="572">
        <f>H8</f>
        <v>807</v>
      </c>
      <c r="C22" s="573">
        <f>B14</f>
        <v>706</v>
      </c>
    </row>
    <row r="23" spans="1:3" ht="25.5">
      <c r="A23" s="111" t="s">
        <v>572</v>
      </c>
      <c r="B23" s="574">
        <f t="shared" ref="B23:B27" si="4">H9</f>
        <v>73</v>
      </c>
      <c r="C23" s="573">
        <f>C14</f>
        <v>148</v>
      </c>
    </row>
    <row r="24" spans="1:3" ht="25.5">
      <c r="A24" s="111" t="s">
        <v>224</v>
      </c>
      <c r="B24" s="574">
        <f t="shared" si="4"/>
        <v>340</v>
      </c>
      <c r="C24" s="573">
        <f>D14</f>
        <v>339</v>
      </c>
    </row>
    <row r="25" spans="1:3" ht="25.5">
      <c r="A25" s="111" t="s">
        <v>223</v>
      </c>
      <c r="B25" s="574">
        <f t="shared" si="4"/>
        <v>46</v>
      </c>
      <c r="C25" s="573">
        <f>E14</f>
        <v>70</v>
      </c>
    </row>
    <row r="26" spans="1:3" ht="25.5">
      <c r="A26" s="111" t="s">
        <v>222</v>
      </c>
      <c r="B26" s="574">
        <f t="shared" si="4"/>
        <v>15</v>
      </c>
      <c r="C26" s="573">
        <f>F14</f>
        <v>21</v>
      </c>
    </row>
    <row r="27" spans="1:3" ht="26.25" thickBot="1">
      <c r="A27" s="110" t="s">
        <v>221</v>
      </c>
      <c r="B27" s="574">
        <f t="shared" si="4"/>
        <v>26</v>
      </c>
      <c r="C27" s="575">
        <f>G14</f>
        <v>23</v>
      </c>
    </row>
    <row r="28" spans="1:3" ht="13.5" thickTop="1">
      <c r="B28" s="1">
        <f>SUM(B22:B27)</f>
        <v>1307</v>
      </c>
      <c r="C28" s="1">
        <f>SUM(C22:C27)</f>
        <v>1307</v>
      </c>
    </row>
  </sheetData>
  <mergeCells count="7">
    <mergeCell ref="A6:A7"/>
    <mergeCell ref="B6:H6"/>
    <mergeCell ref="I6:I7"/>
    <mergeCell ref="J6:J7"/>
    <mergeCell ref="A1:J1"/>
    <mergeCell ref="A2:J2"/>
    <mergeCell ref="A3:J3"/>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rightToLeft="1" view="pageBreakPreview" zoomScaleNormal="100" zoomScaleSheetLayoutView="100" workbookViewId="0">
      <selection activeCell="F4" sqref="F4"/>
    </sheetView>
  </sheetViews>
  <sheetFormatPr defaultColWidth="9.140625" defaultRowHeight="12.75"/>
  <cols>
    <col min="1" max="16384" width="9.140625" style="1"/>
  </cols>
  <sheetData>
    <row r="1" ht="41.25" customHeight="1"/>
    <row r="36" spans="1:14" ht="15.75">
      <c r="A36" s="945" t="s">
        <v>575</v>
      </c>
      <c r="B36" s="945"/>
      <c r="C36" s="945"/>
      <c r="D36" s="945"/>
      <c r="E36" s="945"/>
      <c r="F36" s="945"/>
      <c r="G36" s="945"/>
      <c r="H36" s="945"/>
      <c r="I36" s="945"/>
      <c r="J36" s="945"/>
      <c r="K36" s="945"/>
      <c r="L36" s="945"/>
      <c r="M36" s="945"/>
      <c r="N36" s="945"/>
    </row>
  </sheetData>
  <mergeCells count="1">
    <mergeCell ref="A36:N36"/>
  </mergeCells>
  <printOptions horizontalCentered="1" verticalCentered="1"/>
  <pageMargins left="0" right="0" top="0" bottom="0" header="0" footer="0"/>
  <pageSetup paperSize="9"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rightToLeft="1" view="pageBreakPreview" zoomScaleNormal="100" zoomScaleSheetLayoutView="100" workbookViewId="0">
      <selection activeCell="M19" sqref="M19"/>
    </sheetView>
  </sheetViews>
  <sheetFormatPr defaultColWidth="9.140625" defaultRowHeight="12.75"/>
  <cols>
    <col min="1" max="1" width="20" style="1" customWidth="1"/>
    <col min="2" max="2" width="9.140625" style="1" customWidth="1"/>
    <col min="3" max="3" width="6.85546875" style="1" customWidth="1"/>
    <col min="4" max="4" width="6.42578125" style="1" customWidth="1"/>
    <col min="5" max="5" width="6.85546875" style="1" customWidth="1"/>
    <col min="6" max="7" width="10.85546875" style="1" customWidth="1"/>
    <col min="8" max="8" width="7.42578125" style="1" customWidth="1"/>
    <col min="9" max="9" width="5.85546875" style="1" customWidth="1"/>
    <col min="10" max="10" width="6.7109375" style="1" customWidth="1"/>
    <col min="11" max="11" width="6" style="1" customWidth="1"/>
    <col min="12" max="12" width="9.5703125" style="1" customWidth="1"/>
    <col min="13" max="13" width="11.42578125" style="1" customWidth="1"/>
    <col min="14" max="14" width="21.28515625" style="1" customWidth="1"/>
    <col min="15" max="16384" width="9.140625" style="1"/>
  </cols>
  <sheetData>
    <row r="1" spans="1:18" s="2" customFormat="1" ht="21.75" customHeight="1">
      <c r="A1" s="934" t="s">
        <v>909</v>
      </c>
      <c r="B1" s="934"/>
      <c r="C1" s="934"/>
      <c r="D1" s="934"/>
      <c r="E1" s="934"/>
      <c r="F1" s="934"/>
      <c r="G1" s="934"/>
      <c r="H1" s="934"/>
      <c r="I1" s="994"/>
      <c r="J1" s="934"/>
      <c r="K1" s="934"/>
      <c r="L1" s="934"/>
      <c r="M1" s="934"/>
      <c r="N1" s="934"/>
    </row>
    <row r="2" spans="1:18" s="2" customFormat="1" ht="15.75">
      <c r="A2" s="958" t="s">
        <v>910</v>
      </c>
      <c r="B2" s="958"/>
      <c r="C2" s="958"/>
      <c r="D2" s="958"/>
      <c r="E2" s="958"/>
      <c r="F2" s="958"/>
      <c r="G2" s="958"/>
      <c r="H2" s="958"/>
      <c r="I2" s="958"/>
      <c r="J2" s="958"/>
      <c r="K2" s="958"/>
      <c r="L2" s="958"/>
      <c r="M2" s="958"/>
      <c r="N2" s="958"/>
    </row>
    <row r="3" spans="1:18" s="2" customFormat="1" ht="18" customHeight="1">
      <c r="A3" s="959">
        <v>2015</v>
      </c>
      <c r="B3" s="959"/>
      <c r="C3" s="959"/>
      <c r="D3" s="959"/>
      <c r="E3" s="959"/>
      <c r="F3" s="959"/>
      <c r="G3" s="959"/>
      <c r="H3" s="959"/>
      <c r="I3" s="959"/>
      <c r="J3" s="959"/>
      <c r="K3" s="959"/>
      <c r="L3" s="959"/>
      <c r="M3" s="959"/>
      <c r="N3" s="959"/>
      <c r="O3" s="125"/>
      <c r="P3" s="125"/>
      <c r="Q3" s="125"/>
      <c r="R3" s="125"/>
    </row>
    <row r="4" spans="1:18" s="2" customFormat="1" ht="15.75">
      <c r="A4" s="959"/>
      <c r="B4" s="959"/>
      <c r="C4" s="959"/>
      <c r="D4" s="959"/>
      <c r="E4" s="959"/>
      <c r="F4" s="959"/>
      <c r="G4" s="959"/>
      <c r="H4" s="959"/>
      <c r="I4" s="959"/>
      <c r="J4" s="959"/>
      <c r="K4" s="959"/>
      <c r="L4" s="959"/>
      <c r="M4" s="959"/>
      <c r="N4" s="959"/>
    </row>
    <row r="5" spans="1:18" ht="15.75">
      <c r="A5" s="648" t="s">
        <v>906</v>
      </c>
      <c r="B5" s="652"/>
      <c r="C5" s="652"/>
      <c r="D5" s="652"/>
      <c r="E5" s="652"/>
      <c r="F5" s="652"/>
      <c r="G5" s="652"/>
      <c r="H5" s="652"/>
      <c r="I5" s="652"/>
      <c r="J5" s="652"/>
      <c r="K5" s="652"/>
      <c r="L5" s="652"/>
      <c r="M5" s="652"/>
      <c r="N5" s="650" t="s">
        <v>907</v>
      </c>
    </row>
    <row r="6" spans="1:18" ht="26.25" customHeight="1" thickBot="1">
      <c r="A6" s="985" t="s">
        <v>289</v>
      </c>
      <c r="B6" s="969" t="s">
        <v>577</v>
      </c>
      <c r="C6" s="969"/>
      <c r="D6" s="969"/>
      <c r="E6" s="969"/>
      <c r="F6" s="969"/>
      <c r="G6" s="969"/>
      <c r="H6" s="969"/>
      <c r="I6" s="969"/>
      <c r="J6" s="969"/>
      <c r="K6" s="969"/>
      <c r="L6" s="969"/>
      <c r="M6" s="969"/>
      <c r="N6" s="987" t="s">
        <v>288</v>
      </c>
    </row>
    <row r="7" spans="1:18" ht="26.25" customHeight="1" thickBot="1">
      <c r="A7" s="1002"/>
      <c r="B7" s="1061" t="s">
        <v>173</v>
      </c>
      <c r="C7" s="1061"/>
      <c r="D7" s="1061"/>
      <c r="E7" s="1061"/>
      <c r="F7" s="1061"/>
      <c r="G7" s="1061"/>
      <c r="H7" s="1061" t="s">
        <v>172</v>
      </c>
      <c r="I7" s="1061"/>
      <c r="J7" s="1061"/>
      <c r="K7" s="1061"/>
      <c r="L7" s="1061"/>
      <c r="M7" s="1061"/>
      <c r="N7" s="1060"/>
    </row>
    <row r="8" spans="1:18" ht="40.5" customHeight="1">
      <c r="A8" s="986"/>
      <c r="B8" s="592" t="s">
        <v>576</v>
      </c>
      <c r="C8" s="592">
        <v>1</v>
      </c>
      <c r="D8" s="592">
        <v>2</v>
      </c>
      <c r="E8" s="592">
        <v>3</v>
      </c>
      <c r="F8" s="592" t="s">
        <v>293</v>
      </c>
      <c r="G8" s="579" t="s">
        <v>256</v>
      </c>
      <c r="H8" s="592" t="s">
        <v>576</v>
      </c>
      <c r="I8" s="592">
        <v>1</v>
      </c>
      <c r="J8" s="592">
        <v>2</v>
      </c>
      <c r="K8" s="592">
        <v>3</v>
      </c>
      <c r="L8" s="592" t="s">
        <v>293</v>
      </c>
      <c r="M8" s="579" t="s">
        <v>256</v>
      </c>
      <c r="N8" s="988"/>
    </row>
    <row r="9" spans="1:18" ht="17.25" customHeight="1" thickBot="1">
      <c r="A9" s="7" t="s">
        <v>751</v>
      </c>
      <c r="B9" s="152">
        <v>1</v>
      </c>
      <c r="C9" s="152">
        <v>0</v>
      </c>
      <c r="D9" s="152">
        <v>0</v>
      </c>
      <c r="E9" s="152">
        <v>0</v>
      </c>
      <c r="F9" s="152">
        <v>0</v>
      </c>
      <c r="G9" s="8">
        <f>SUM(B9:F9)</f>
        <v>1</v>
      </c>
      <c r="H9" s="152">
        <v>0</v>
      </c>
      <c r="I9" s="152">
        <v>0</v>
      </c>
      <c r="J9" s="152">
        <v>0</v>
      </c>
      <c r="K9" s="152">
        <v>0</v>
      </c>
      <c r="L9" s="152">
        <v>0</v>
      </c>
      <c r="M9" s="8">
        <f>SUM(H9:L9)</f>
        <v>0</v>
      </c>
      <c r="N9" s="10" t="s">
        <v>751</v>
      </c>
    </row>
    <row r="10" spans="1:18" ht="17.25" customHeight="1" thickBot="1">
      <c r="A10" s="201" t="s">
        <v>269</v>
      </c>
      <c r="B10" s="401">
        <v>113</v>
      </c>
      <c r="C10" s="401">
        <v>0</v>
      </c>
      <c r="D10" s="401">
        <v>0</v>
      </c>
      <c r="E10" s="401">
        <v>0</v>
      </c>
      <c r="F10" s="401">
        <v>0</v>
      </c>
      <c r="G10" s="8">
        <f t="shared" ref="G10:G22" si="0">SUM(B10:F10)</f>
        <v>113</v>
      </c>
      <c r="H10" s="401">
        <v>18</v>
      </c>
      <c r="I10" s="401">
        <v>0</v>
      </c>
      <c r="J10" s="401">
        <v>0</v>
      </c>
      <c r="K10" s="401">
        <v>0</v>
      </c>
      <c r="L10" s="401">
        <v>2</v>
      </c>
      <c r="M10" s="8">
        <f t="shared" ref="M10:M22" si="1">SUM(H10:L10)</f>
        <v>20</v>
      </c>
      <c r="N10" s="202" t="s">
        <v>269</v>
      </c>
    </row>
    <row r="11" spans="1:18" ht="17.25" customHeight="1" thickBot="1">
      <c r="A11" s="201" t="s">
        <v>268</v>
      </c>
      <c r="B11" s="401">
        <v>225</v>
      </c>
      <c r="C11" s="401">
        <v>1</v>
      </c>
      <c r="D11" s="401">
        <v>0</v>
      </c>
      <c r="E11" s="401">
        <v>0</v>
      </c>
      <c r="F11" s="401">
        <v>0</v>
      </c>
      <c r="G11" s="8">
        <f t="shared" si="0"/>
        <v>226</v>
      </c>
      <c r="H11" s="401">
        <v>104</v>
      </c>
      <c r="I11" s="401">
        <v>0</v>
      </c>
      <c r="J11" s="401">
        <v>0</v>
      </c>
      <c r="K11" s="401">
        <v>0</v>
      </c>
      <c r="L11" s="401">
        <v>1</v>
      </c>
      <c r="M11" s="8">
        <f t="shared" si="1"/>
        <v>105</v>
      </c>
      <c r="N11" s="202" t="s">
        <v>268</v>
      </c>
    </row>
    <row r="12" spans="1:18" ht="17.25" customHeight="1" thickBot="1">
      <c r="A12" s="201" t="s">
        <v>267</v>
      </c>
      <c r="B12" s="401">
        <v>160</v>
      </c>
      <c r="C12" s="401">
        <v>2</v>
      </c>
      <c r="D12" s="401">
        <v>0</v>
      </c>
      <c r="E12" s="401">
        <v>0</v>
      </c>
      <c r="F12" s="401">
        <v>0</v>
      </c>
      <c r="G12" s="8">
        <f t="shared" si="0"/>
        <v>162</v>
      </c>
      <c r="H12" s="401">
        <v>103</v>
      </c>
      <c r="I12" s="401">
        <v>3</v>
      </c>
      <c r="J12" s="401">
        <v>0</v>
      </c>
      <c r="K12" s="401">
        <v>0</v>
      </c>
      <c r="L12" s="401">
        <v>1</v>
      </c>
      <c r="M12" s="8">
        <f t="shared" si="1"/>
        <v>107</v>
      </c>
      <c r="N12" s="202" t="s">
        <v>267</v>
      </c>
    </row>
    <row r="13" spans="1:18" ht="17.25" customHeight="1" thickBot="1">
      <c r="A13" s="201" t="s">
        <v>266</v>
      </c>
      <c r="B13" s="401">
        <v>89</v>
      </c>
      <c r="C13" s="401">
        <v>0</v>
      </c>
      <c r="D13" s="401">
        <v>0</v>
      </c>
      <c r="E13" s="401">
        <v>0</v>
      </c>
      <c r="F13" s="401">
        <v>1</v>
      </c>
      <c r="G13" s="8">
        <f t="shared" si="0"/>
        <v>90</v>
      </c>
      <c r="H13" s="401">
        <v>94</v>
      </c>
      <c r="I13" s="401">
        <v>4</v>
      </c>
      <c r="J13" s="401">
        <v>0</v>
      </c>
      <c r="K13" s="401">
        <v>0</v>
      </c>
      <c r="L13" s="401">
        <v>0</v>
      </c>
      <c r="M13" s="8">
        <f t="shared" si="1"/>
        <v>98</v>
      </c>
      <c r="N13" s="202" t="s">
        <v>266</v>
      </c>
    </row>
    <row r="14" spans="1:18" ht="17.25" customHeight="1" thickBot="1">
      <c r="A14" s="201" t="s">
        <v>265</v>
      </c>
      <c r="B14" s="401">
        <v>58</v>
      </c>
      <c r="C14" s="401">
        <v>5</v>
      </c>
      <c r="D14" s="401">
        <v>0</v>
      </c>
      <c r="E14" s="401">
        <v>0</v>
      </c>
      <c r="F14" s="401">
        <v>0</v>
      </c>
      <c r="G14" s="8">
        <f t="shared" si="0"/>
        <v>63</v>
      </c>
      <c r="H14" s="401">
        <v>47</v>
      </c>
      <c r="I14" s="401">
        <v>5</v>
      </c>
      <c r="J14" s="401">
        <v>0</v>
      </c>
      <c r="K14" s="401">
        <v>0</v>
      </c>
      <c r="L14" s="401">
        <v>3</v>
      </c>
      <c r="M14" s="8">
        <f t="shared" si="1"/>
        <v>55</v>
      </c>
      <c r="N14" s="202" t="s">
        <v>265</v>
      </c>
    </row>
    <row r="15" spans="1:18" ht="17.25" customHeight="1" thickBot="1">
      <c r="A15" s="201" t="s">
        <v>264</v>
      </c>
      <c r="B15" s="401">
        <v>52</v>
      </c>
      <c r="C15" s="401">
        <v>4</v>
      </c>
      <c r="D15" s="401">
        <v>0</v>
      </c>
      <c r="E15" s="401">
        <v>0</v>
      </c>
      <c r="F15" s="401">
        <v>0</v>
      </c>
      <c r="G15" s="8">
        <f t="shared" si="0"/>
        <v>56</v>
      </c>
      <c r="H15" s="401">
        <v>37</v>
      </c>
      <c r="I15" s="401">
        <v>9</v>
      </c>
      <c r="J15" s="401">
        <v>1</v>
      </c>
      <c r="K15" s="401">
        <v>0</v>
      </c>
      <c r="L15" s="401">
        <v>1</v>
      </c>
      <c r="M15" s="8">
        <f t="shared" si="1"/>
        <v>48</v>
      </c>
      <c r="N15" s="202" t="s">
        <v>264</v>
      </c>
    </row>
    <row r="16" spans="1:18" ht="17.25" customHeight="1" thickBot="1">
      <c r="A16" s="201" t="s">
        <v>263</v>
      </c>
      <c r="B16" s="401">
        <v>29</v>
      </c>
      <c r="C16" s="401">
        <v>4</v>
      </c>
      <c r="D16" s="401">
        <v>2</v>
      </c>
      <c r="E16" s="401">
        <v>0</v>
      </c>
      <c r="F16" s="401">
        <v>0</v>
      </c>
      <c r="G16" s="8">
        <f t="shared" si="0"/>
        <v>35</v>
      </c>
      <c r="H16" s="401">
        <v>26</v>
      </c>
      <c r="I16" s="401">
        <v>3</v>
      </c>
      <c r="J16" s="401">
        <v>0</v>
      </c>
      <c r="K16" s="401">
        <v>0</v>
      </c>
      <c r="L16" s="401">
        <v>0</v>
      </c>
      <c r="M16" s="8">
        <f t="shared" si="1"/>
        <v>29</v>
      </c>
      <c r="N16" s="202" t="s">
        <v>263</v>
      </c>
    </row>
    <row r="17" spans="1:14" ht="17.25" customHeight="1" thickBot="1">
      <c r="A17" s="201" t="s">
        <v>262</v>
      </c>
      <c r="B17" s="401">
        <v>20</v>
      </c>
      <c r="C17" s="401">
        <v>2</v>
      </c>
      <c r="D17" s="401">
        <v>0</v>
      </c>
      <c r="E17" s="401">
        <v>0</v>
      </c>
      <c r="F17" s="401">
        <v>0</v>
      </c>
      <c r="G17" s="8">
        <f t="shared" si="0"/>
        <v>22</v>
      </c>
      <c r="H17" s="401">
        <v>17</v>
      </c>
      <c r="I17" s="401">
        <v>0</v>
      </c>
      <c r="J17" s="401">
        <v>1</v>
      </c>
      <c r="K17" s="401">
        <v>0</v>
      </c>
      <c r="L17" s="401">
        <v>0</v>
      </c>
      <c r="M17" s="8">
        <f t="shared" si="1"/>
        <v>18</v>
      </c>
      <c r="N17" s="202" t="s">
        <v>262</v>
      </c>
    </row>
    <row r="18" spans="1:14" ht="17.25" customHeight="1" thickBot="1">
      <c r="A18" s="201" t="s">
        <v>261</v>
      </c>
      <c r="B18" s="401">
        <v>17</v>
      </c>
      <c r="C18" s="401">
        <v>2</v>
      </c>
      <c r="D18" s="401">
        <v>0</v>
      </c>
      <c r="E18" s="401">
        <v>0</v>
      </c>
      <c r="F18" s="401">
        <v>0</v>
      </c>
      <c r="G18" s="8">
        <f t="shared" si="0"/>
        <v>19</v>
      </c>
      <c r="H18" s="401">
        <v>12</v>
      </c>
      <c r="I18" s="401">
        <v>0</v>
      </c>
      <c r="J18" s="401">
        <v>1</v>
      </c>
      <c r="K18" s="401">
        <v>0</v>
      </c>
      <c r="L18" s="401">
        <v>0</v>
      </c>
      <c r="M18" s="8">
        <f t="shared" si="1"/>
        <v>13</v>
      </c>
      <c r="N18" s="202" t="s">
        <v>261</v>
      </c>
    </row>
    <row r="19" spans="1:14" ht="17.25" customHeight="1" thickBot="1">
      <c r="A19" s="201" t="s">
        <v>260</v>
      </c>
      <c r="B19" s="401">
        <v>9</v>
      </c>
      <c r="C19" s="401">
        <v>1</v>
      </c>
      <c r="D19" s="401">
        <v>0</v>
      </c>
      <c r="E19" s="401">
        <v>0</v>
      </c>
      <c r="F19" s="401">
        <v>0</v>
      </c>
      <c r="G19" s="8">
        <f t="shared" si="0"/>
        <v>10</v>
      </c>
      <c r="H19" s="401">
        <v>3</v>
      </c>
      <c r="I19" s="401">
        <v>0</v>
      </c>
      <c r="J19" s="401">
        <v>0</v>
      </c>
      <c r="K19" s="401">
        <v>0</v>
      </c>
      <c r="L19" s="401">
        <v>0</v>
      </c>
      <c r="M19" s="8">
        <f t="shared" si="1"/>
        <v>3</v>
      </c>
      <c r="N19" s="202" t="s">
        <v>260</v>
      </c>
    </row>
    <row r="20" spans="1:14" ht="17.25" customHeight="1" thickBot="1">
      <c r="A20" s="201" t="s">
        <v>259</v>
      </c>
      <c r="B20" s="401">
        <v>9</v>
      </c>
      <c r="C20" s="401">
        <v>0</v>
      </c>
      <c r="D20" s="401">
        <v>0</v>
      </c>
      <c r="E20" s="401">
        <v>0</v>
      </c>
      <c r="F20" s="401">
        <v>0</v>
      </c>
      <c r="G20" s="8">
        <f t="shared" si="0"/>
        <v>9</v>
      </c>
      <c r="H20" s="401">
        <v>2</v>
      </c>
      <c r="I20" s="401">
        <v>0</v>
      </c>
      <c r="J20" s="401">
        <v>0</v>
      </c>
      <c r="K20" s="401">
        <v>0</v>
      </c>
      <c r="L20" s="401">
        <v>0</v>
      </c>
      <c r="M20" s="8">
        <f t="shared" si="1"/>
        <v>2</v>
      </c>
      <c r="N20" s="202" t="s">
        <v>259</v>
      </c>
    </row>
    <row r="21" spans="1:14" ht="17.25" customHeight="1" thickBot="1">
      <c r="A21" s="201" t="s">
        <v>258</v>
      </c>
      <c r="B21" s="401">
        <v>1</v>
      </c>
      <c r="C21" s="401">
        <v>0</v>
      </c>
      <c r="D21" s="401">
        <v>0</v>
      </c>
      <c r="E21" s="401">
        <v>0</v>
      </c>
      <c r="F21" s="401">
        <v>0</v>
      </c>
      <c r="G21" s="8">
        <f t="shared" si="0"/>
        <v>1</v>
      </c>
      <c r="H21" s="401">
        <v>2</v>
      </c>
      <c r="I21" s="401">
        <v>0</v>
      </c>
      <c r="J21" s="401">
        <v>0</v>
      </c>
      <c r="K21" s="401">
        <v>0</v>
      </c>
      <c r="L21" s="401">
        <v>0</v>
      </c>
      <c r="M21" s="8">
        <f t="shared" si="1"/>
        <v>2</v>
      </c>
      <c r="N21" s="202" t="s">
        <v>258</v>
      </c>
    </row>
    <row r="22" spans="1:14" ht="17.25" customHeight="1" thickBot="1">
      <c r="A22" s="203" t="s">
        <v>19</v>
      </c>
      <c r="B22" s="402">
        <v>0</v>
      </c>
      <c r="C22" s="402">
        <v>0</v>
      </c>
      <c r="D22" s="402">
        <v>0</v>
      </c>
      <c r="E22" s="402">
        <v>0</v>
      </c>
      <c r="F22" s="402">
        <v>0</v>
      </c>
      <c r="G22" s="8">
        <f t="shared" si="0"/>
        <v>0</v>
      </c>
      <c r="H22" s="402">
        <v>0</v>
      </c>
      <c r="I22" s="402">
        <v>0</v>
      </c>
      <c r="J22" s="402">
        <v>0</v>
      </c>
      <c r="K22" s="402">
        <v>0</v>
      </c>
      <c r="L22" s="402">
        <v>0</v>
      </c>
      <c r="M22" s="8">
        <f t="shared" si="1"/>
        <v>0</v>
      </c>
      <c r="N22" s="204" t="s">
        <v>20</v>
      </c>
    </row>
    <row r="23" spans="1:14" ht="24.75" customHeight="1">
      <c r="A23" s="178" t="s">
        <v>21</v>
      </c>
      <c r="B23" s="620">
        <f t="shared" ref="B23:M23" si="2">SUM(B9:B22)</f>
        <v>783</v>
      </c>
      <c r="C23" s="620">
        <f t="shared" si="2"/>
        <v>21</v>
      </c>
      <c r="D23" s="620">
        <f t="shared" si="2"/>
        <v>2</v>
      </c>
      <c r="E23" s="620">
        <f t="shared" si="2"/>
        <v>0</v>
      </c>
      <c r="F23" s="620">
        <f t="shared" si="2"/>
        <v>1</v>
      </c>
      <c r="G23" s="620">
        <f t="shared" si="2"/>
        <v>807</v>
      </c>
      <c r="H23" s="620">
        <f t="shared" si="2"/>
        <v>465</v>
      </c>
      <c r="I23" s="620">
        <f t="shared" si="2"/>
        <v>24</v>
      </c>
      <c r="J23" s="620">
        <f t="shared" si="2"/>
        <v>3</v>
      </c>
      <c r="K23" s="620">
        <f t="shared" si="2"/>
        <v>0</v>
      </c>
      <c r="L23" s="620">
        <f t="shared" si="2"/>
        <v>8</v>
      </c>
      <c r="M23" s="620">
        <f t="shared" si="2"/>
        <v>500</v>
      </c>
      <c r="N23" s="179" t="s">
        <v>176</v>
      </c>
    </row>
  </sheetData>
  <mergeCells count="9">
    <mergeCell ref="B6:M6"/>
    <mergeCell ref="A1:N1"/>
    <mergeCell ref="A2:N2"/>
    <mergeCell ref="A3:N3"/>
    <mergeCell ref="A4:N4"/>
    <mergeCell ref="A6:A8"/>
    <mergeCell ref="N6:N8"/>
    <mergeCell ref="B7:G7"/>
    <mergeCell ref="H7:M7"/>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rightToLeft="1" view="pageBreakPreview" zoomScaleNormal="75" zoomScaleSheetLayoutView="100" workbookViewId="0">
      <selection activeCell="K14" sqref="K14"/>
    </sheetView>
  </sheetViews>
  <sheetFormatPr defaultColWidth="9.140625" defaultRowHeight="12.75"/>
  <cols>
    <col min="1" max="1" width="18.85546875" style="1" customWidth="1"/>
    <col min="2" max="10" width="10.42578125" style="1" customWidth="1"/>
    <col min="11" max="11" width="10.7109375" style="1" customWidth="1"/>
    <col min="12" max="12" width="23.7109375" style="1" customWidth="1"/>
    <col min="13" max="16384" width="9.140625" style="1"/>
  </cols>
  <sheetData>
    <row r="1" spans="1:12" s="2" customFormat="1" ht="24" customHeight="1">
      <c r="A1" s="934" t="s">
        <v>579</v>
      </c>
      <c r="B1" s="934"/>
      <c r="C1" s="934"/>
      <c r="D1" s="934"/>
      <c r="E1" s="934"/>
      <c r="F1" s="934"/>
      <c r="G1" s="934"/>
      <c r="H1" s="934"/>
      <c r="I1" s="934"/>
      <c r="J1" s="934"/>
      <c r="K1" s="934"/>
      <c r="L1" s="934"/>
    </row>
    <row r="2" spans="1:12" s="3" customFormat="1" ht="18">
      <c r="A2" s="958" t="s">
        <v>578</v>
      </c>
      <c r="B2" s="958"/>
      <c r="C2" s="958"/>
      <c r="D2" s="958"/>
      <c r="E2" s="958"/>
      <c r="F2" s="958"/>
      <c r="G2" s="958"/>
      <c r="H2" s="958"/>
      <c r="I2" s="958"/>
      <c r="J2" s="958"/>
      <c r="K2" s="958"/>
      <c r="L2" s="958"/>
    </row>
    <row r="3" spans="1:12" s="2" customFormat="1" ht="15.75">
      <c r="A3" s="959">
        <v>2015</v>
      </c>
      <c r="B3" s="959"/>
      <c r="C3" s="959"/>
      <c r="D3" s="959"/>
      <c r="E3" s="959"/>
      <c r="F3" s="959"/>
      <c r="G3" s="959"/>
      <c r="H3" s="959"/>
      <c r="I3" s="959"/>
      <c r="J3" s="959"/>
      <c r="K3" s="959"/>
      <c r="L3" s="959"/>
    </row>
    <row r="4" spans="1:12" s="2" customFormat="1" ht="15.75">
      <c r="A4" s="959" t="s">
        <v>173</v>
      </c>
      <c r="B4" s="959"/>
      <c r="C4" s="959"/>
      <c r="D4" s="959"/>
      <c r="E4" s="959"/>
      <c r="F4" s="959"/>
      <c r="G4" s="959"/>
      <c r="H4" s="959"/>
      <c r="I4" s="959"/>
      <c r="J4" s="959"/>
      <c r="K4" s="959"/>
      <c r="L4" s="959"/>
    </row>
    <row r="5" spans="1:12" s="2" customFormat="1" ht="15.75">
      <c r="A5" s="635"/>
      <c r="B5" s="635"/>
      <c r="C5" s="635"/>
      <c r="D5" s="635"/>
      <c r="E5" s="635"/>
      <c r="F5" s="635"/>
      <c r="G5" s="635"/>
      <c r="H5" s="635"/>
      <c r="I5" s="635"/>
      <c r="J5" s="635"/>
      <c r="K5" s="635"/>
      <c r="L5" s="635"/>
    </row>
    <row r="6" spans="1:12" ht="15.75">
      <c r="A6" s="648" t="s">
        <v>884</v>
      </c>
      <c r="B6" s="652"/>
      <c r="C6" s="652"/>
      <c r="D6" s="652"/>
      <c r="E6" s="652"/>
      <c r="F6" s="652"/>
      <c r="G6" s="652"/>
      <c r="H6" s="652"/>
      <c r="I6" s="652"/>
      <c r="J6" s="652"/>
      <c r="K6" s="652"/>
      <c r="L6" s="650" t="s">
        <v>885</v>
      </c>
    </row>
    <row r="7" spans="1:12" ht="30.75" customHeight="1" thickBot="1">
      <c r="A7" s="985" t="s">
        <v>377</v>
      </c>
      <c r="B7" s="999" t="s">
        <v>376</v>
      </c>
      <c r="C7" s="999"/>
      <c r="D7" s="999"/>
      <c r="E7" s="999"/>
      <c r="F7" s="999"/>
      <c r="G7" s="999"/>
      <c r="H7" s="999"/>
      <c r="I7" s="999"/>
      <c r="J7" s="999"/>
      <c r="K7" s="1000" t="s">
        <v>375</v>
      </c>
      <c r="L7" s="997" t="s">
        <v>374</v>
      </c>
    </row>
    <row r="8" spans="1:12" ht="60.75" customHeight="1">
      <c r="A8" s="992"/>
      <c r="B8" s="303" t="s">
        <v>373</v>
      </c>
      <c r="C8" s="303" t="s">
        <v>997</v>
      </c>
      <c r="D8" s="303" t="s">
        <v>371</v>
      </c>
      <c r="E8" s="303" t="s">
        <v>370</v>
      </c>
      <c r="F8" s="303" t="s">
        <v>369</v>
      </c>
      <c r="G8" s="303" t="s">
        <v>975</v>
      </c>
      <c r="H8" s="303" t="s">
        <v>368</v>
      </c>
      <c r="I8" s="303" t="s">
        <v>293</v>
      </c>
      <c r="J8" s="583" t="s">
        <v>9</v>
      </c>
      <c r="K8" s="1001"/>
      <c r="L8" s="998"/>
    </row>
    <row r="9" spans="1:12" ht="24" customHeight="1" thickBot="1">
      <c r="A9" s="123" t="s">
        <v>367</v>
      </c>
      <c r="B9" s="205">
        <v>3</v>
      </c>
      <c r="C9" s="152">
        <v>0</v>
      </c>
      <c r="D9" s="152">
        <v>1</v>
      </c>
      <c r="E9" s="152">
        <v>2</v>
      </c>
      <c r="F9" s="152">
        <v>0</v>
      </c>
      <c r="G9" s="152">
        <v>0</v>
      </c>
      <c r="H9" s="152">
        <v>0</v>
      </c>
      <c r="I9" s="152">
        <v>0</v>
      </c>
      <c r="J9" s="206">
        <f>SUM(B9:I9)</f>
        <v>6</v>
      </c>
      <c r="K9" s="9">
        <f t="shared" ref="K9:K16" si="0">J9/$J$17%</f>
        <v>0.74349442379182151</v>
      </c>
      <c r="L9" s="133" t="s">
        <v>366</v>
      </c>
    </row>
    <row r="10" spans="1:12" ht="24" customHeight="1" thickBot="1">
      <c r="A10" s="122" t="s">
        <v>365</v>
      </c>
      <c r="B10" s="418">
        <v>0</v>
      </c>
      <c r="C10" s="401">
        <v>6</v>
      </c>
      <c r="D10" s="401">
        <v>3</v>
      </c>
      <c r="E10" s="401">
        <v>2</v>
      </c>
      <c r="F10" s="401">
        <v>5</v>
      </c>
      <c r="G10" s="401">
        <v>1</v>
      </c>
      <c r="H10" s="401">
        <v>0</v>
      </c>
      <c r="I10" s="401">
        <v>0</v>
      </c>
      <c r="J10" s="206">
        <f t="shared" ref="J10:J16" si="1">SUM(B10:I10)</f>
        <v>17</v>
      </c>
      <c r="K10" s="12">
        <f t="shared" si="0"/>
        <v>2.1065675340768277</v>
      </c>
      <c r="L10" s="132" t="s">
        <v>364</v>
      </c>
    </row>
    <row r="11" spans="1:12" ht="24" customHeight="1" thickBot="1">
      <c r="A11" s="121" t="s">
        <v>363</v>
      </c>
      <c r="B11" s="418">
        <v>6</v>
      </c>
      <c r="C11" s="401">
        <v>2</v>
      </c>
      <c r="D11" s="401">
        <v>13</v>
      </c>
      <c r="E11" s="401">
        <v>22</v>
      </c>
      <c r="F11" s="401">
        <v>40</v>
      </c>
      <c r="G11" s="401">
        <v>3</v>
      </c>
      <c r="H11" s="401">
        <v>8</v>
      </c>
      <c r="I11" s="401">
        <v>1</v>
      </c>
      <c r="J11" s="206">
        <f t="shared" si="1"/>
        <v>95</v>
      </c>
      <c r="K11" s="15">
        <f t="shared" si="0"/>
        <v>11.771995043370508</v>
      </c>
      <c r="L11" s="131" t="s">
        <v>362</v>
      </c>
    </row>
    <row r="12" spans="1:12" ht="24" customHeight="1" thickBot="1">
      <c r="A12" s="122" t="s">
        <v>361</v>
      </c>
      <c r="B12" s="418">
        <v>8</v>
      </c>
      <c r="C12" s="401">
        <v>3</v>
      </c>
      <c r="D12" s="401">
        <v>15</v>
      </c>
      <c r="E12" s="401">
        <v>17</v>
      </c>
      <c r="F12" s="401">
        <v>57</v>
      </c>
      <c r="G12" s="401">
        <v>0</v>
      </c>
      <c r="H12" s="401">
        <v>20</v>
      </c>
      <c r="I12" s="401">
        <v>0</v>
      </c>
      <c r="J12" s="206">
        <f t="shared" si="1"/>
        <v>120</v>
      </c>
      <c r="K12" s="12">
        <f t="shared" si="0"/>
        <v>14.869888475836431</v>
      </c>
      <c r="L12" s="132" t="s">
        <v>360</v>
      </c>
    </row>
    <row r="13" spans="1:12" ht="24" customHeight="1" thickBot="1">
      <c r="A13" s="121" t="s">
        <v>359</v>
      </c>
      <c r="B13" s="418">
        <v>5</v>
      </c>
      <c r="C13" s="401">
        <v>2</v>
      </c>
      <c r="D13" s="401">
        <v>9</v>
      </c>
      <c r="E13" s="401">
        <v>44</v>
      </c>
      <c r="F13" s="401">
        <v>230</v>
      </c>
      <c r="G13" s="401">
        <v>3</v>
      </c>
      <c r="H13" s="401">
        <v>57</v>
      </c>
      <c r="I13" s="401">
        <v>0</v>
      </c>
      <c r="J13" s="206">
        <f t="shared" si="1"/>
        <v>350</v>
      </c>
      <c r="K13" s="15">
        <f t="shared" si="0"/>
        <v>43.370508054522922</v>
      </c>
      <c r="L13" s="131" t="s">
        <v>358</v>
      </c>
    </row>
    <row r="14" spans="1:12" ht="24" customHeight="1" thickBot="1">
      <c r="A14" s="662" t="s">
        <v>984</v>
      </c>
      <c r="B14" s="418">
        <v>0</v>
      </c>
      <c r="C14" s="401">
        <v>0</v>
      </c>
      <c r="D14" s="401">
        <v>2</v>
      </c>
      <c r="E14" s="401">
        <v>1</v>
      </c>
      <c r="F14" s="401">
        <v>13</v>
      </c>
      <c r="G14" s="401">
        <v>0</v>
      </c>
      <c r="H14" s="401">
        <v>6</v>
      </c>
      <c r="I14" s="401">
        <v>0</v>
      </c>
      <c r="J14" s="206">
        <f t="shared" si="1"/>
        <v>22</v>
      </c>
      <c r="K14" s="12">
        <f t="shared" si="0"/>
        <v>2.7261462205700124</v>
      </c>
      <c r="L14" s="663" t="s">
        <v>985</v>
      </c>
    </row>
    <row r="15" spans="1:12" ht="24" customHeight="1" thickBot="1">
      <c r="A15" s="121" t="s">
        <v>357</v>
      </c>
      <c r="B15" s="418">
        <v>0</v>
      </c>
      <c r="C15" s="401">
        <v>0</v>
      </c>
      <c r="D15" s="401">
        <v>3</v>
      </c>
      <c r="E15" s="401">
        <v>13</v>
      </c>
      <c r="F15" s="401">
        <v>106</v>
      </c>
      <c r="G15" s="401">
        <v>1</v>
      </c>
      <c r="H15" s="401">
        <v>71</v>
      </c>
      <c r="I15" s="401">
        <v>0</v>
      </c>
      <c r="J15" s="206">
        <f t="shared" si="1"/>
        <v>194</v>
      </c>
      <c r="K15" s="15">
        <f t="shared" si="0"/>
        <v>24.039653035935562</v>
      </c>
      <c r="L15" s="131" t="s">
        <v>356</v>
      </c>
    </row>
    <row r="16" spans="1:12" ht="24" customHeight="1" thickBot="1">
      <c r="A16" s="120" t="s">
        <v>19</v>
      </c>
      <c r="B16" s="419">
        <v>1</v>
      </c>
      <c r="C16" s="402">
        <v>0</v>
      </c>
      <c r="D16" s="402">
        <v>0</v>
      </c>
      <c r="E16" s="402">
        <v>0</v>
      </c>
      <c r="F16" s="402">
        <v>2</v>
      </c>
      <c r="G16" s="402">
        <v>0</v>
      </c>
      <c r="H16" s="402">
        <v>0</v>
      </c>
      <c r="I16" s="402">
        <v>0</v>
      </c>
      <c r="J16" s="206">
        <f t="shared" si="1"/>
        <v>3</v>
      </c>
      <c r="K16" s="129">
        <f t="shared" si="0"/>
        <v>0.37174721189591076</v>
      </c>
      <c r="L16" s="130" t="s">
        <v>355</v>
      </c>
    </row>
    <row r="17" spans="1:12" ht="27" customHeight="1">
      <c r="A17" s="431" t="s">
        <v>354</v>
      </c>
      <c r="B17" s="411">
        <f t="shared" ref="B17:K17" si="2">SUM(B7:B16)</f>
        <v>23</v>
      </c>
      <c r="C17" s="411">
        <f t="shared" si="2"/>
        <v>13</v>
      </c>
      <c r="D17" s="411">
        <f t="shared" si="2"/>
        <v>46</v>
      </c>
      <c r="E17" s="411">
        <f t="shared" si="2"/>
        <v>101</v>
      </c>
      <c r="F17" s="411">
        <f t="shared" si="2"/>
        <v>453</v>
      </c>
      <c r="G17" s="411">
        <f t="shared" si="2"/>
        <v>8</v>
      </c>
      <c r="H17" s="411">
        <f t="shared" si="2"/>
        <v>162</v>
      </c>
      <c r="I17" s="411">
        <f t="shared" si="2"/>
        <v>1</v>
      </c>
      <c r="J17" s="411">
        <f t="shared" si="2"/>
        <v>807</v>
      </c>
      <c r="K17" s="412">
        <f t="shared" si="2"/>
        <v>99.999999999999986</v>
      </c>
      <c r="L17" s="432" t="s">
        <v>22</v>
      </c>
    </row>
    <row r="18" spans="1:12" ht="27" customHeight="1">
      <c r="A18" s="433" t="s">
        <v>353</v>
      </c>
      <c r="B18" s="415">
        <f>B17/$J$17%</f>
        <v>2.850061957868649</v>
      </c>
      <c r="C18" s="415">
        <f t="shared" ref="C18:I18" si="3">C17/$J$17%</f>
        <v>1.6109045848822801</v>
      </c>
      <c r="D18" s="415">
        <f t="shared" si="3"/>
        <v>5.700123915737298</v>
      </c>
      <c r="E18" s="415">
        <f t="shared" si="3"/>
        <v>12.515489467162329</v>
      </c>
      <c r="F18" s="415">
        <f t="shared" si="3"/>
        <v>56.133828996282524</v>
      </c>
      <c r="G18" s="415">
        <f t="shared" si="3"/>
        <v>0.99132589838909535</v>
      </c>
      <c r="H18" s="415">
        <f t="shared" si="3"/>
        <v>20.07434944237918</v>
      </c>
      <c r="I18" s="415">
        <f t="shared" si="3"/>
        <v>0.12391573729863692</v>
      </c>
      <c r="J18" s="415">
        <f>SUM(B18:I18)</f>
        <v>100</v>
      </c>
      <c r="K18" s="434"/>
      <c r="L18" s="435" t="s">
        <v>352</v>
      </c>
    </row>
  </sheetData>
  <mergeCells count="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rightToLeft="1" view="pageBreakPreview" zoomScaleNormal="75" zoomScaleSheetLayoutView="100" workbookViewId="0">
      <selection activeCell="J13" sqref="J13"/>
    </sheetView>
  </sheetViews>
  <sheetFormatPr defaultColWidth="9.140625" defaultRowHeight="12.75"/>
  <cols>
    <col min="1" max="1" width="18.85546875" style="1" customWidth="1"/>
    <col min="2" max="10" width="10.42578125" style="1" customWidth="1"/>
    <col min="11" max="11" width="10.7109375" style="1" customWidth="1"/>
    <col min="12" max="12" width="23.7109375" style="1" customWidth="1"/>
    <col min="13" max="16384" width="9.140625" style="1"/>
  </cols>
  <sheetData>
    <row r="1" spans="1:12" s="2" customFormat="1" ht="24" customHeight="1">
      <c r="A1" s="934" t="s">
        <v>579</v>
      </c>
      <c r="B1" s="934"/>
      <c r="C1" s="934"/>
      <c r="D1" s="934"/>
      <c r="E1" s="934"/>
      <c r="F1" s="934"/>
      <c r="G1" s="934"/>
      <c r="H1" s="934"/>
      <c r="I1" s="934"/>
      <c r="J1" s="934"/>
      <c r="K1" s="934"/>
      <c r="L1" s="934"/>
    </row>
    <row r="2" spans="1:12" s="3" customFormat="1" ht="18">
      <c r="A2" s="958" t="s">
        <v>578</v>
      </c>
      <c r="B2" s="958"/>
      <c r="C2" s="958"/>
      <c r="D2" s="958"/>
      <c r="E2" s="958"/>
      <c r="F2" s="958"/>
      <c r="G2" s="958"/>
      <c r="H2" s="958"/>
      <c r="I2" s="958"/>
      <c r="J2" s="958"/>
      <c r="K2" s="958"/>
      <c r="L2" s="958"/>
    </row>
    <row r="3" spans="1:12" s="2" customFormat="1" ht="15.75">
      <c r="A3" s="959">
        <v>2015</v>
      </c>
      <c r="B3" s="959"/>
      <c r="C3" s="959"/>
      <c r="D3" s="959"/>
      <c r="E3" s="959"/>
      <c r="F3" s="959"/>
      <c r="G3" s="959"/>
      <c r="H3" s="959"/>
      <c r="I3" s="959"/>
      <c r="J3" s="959"/>
      <c r="K3" s="959"/>
      <c r="L3" s="959"/>
    </row>
    <row r="4" spans="1:12" s="2" customFormat="1" ht="15.75">
      <c r="A4" s="959" t="s">
        <v>172</v>
      </c>
      <c r="B4" s="959"/>
      <c r="C4" s="959"/>
      <c r="D4" s="959"/>
      <c r="E4" s="959"/>
      <c r="F4" s="959"/>
      <c r="G4" s="959"/>
      <c r="H4" s="959"/>
      <c r="I4" s="959"/>
      <c r="J4" s="959"/>
      <c r="K4" s="959"/>
      <c r="L4" s="959"/>
    </row>
    <row r="5" spans="1:12" s="2" customFormat="1" ht="15.75">
      <c r="A5" s="635"/>
      <c r="B5" s="635"/>
      <c r="C5" s="635"/>
      <c r="D5" s="635"/>
      <c r="E5" s="635"/>
      <c r="F5" s="635"/>
      <c r="G5" s="635"/>
      <c r="H5" s="635"/>
      <c r="I5" s="635"/>
      <c r="J5" s="635"/>
      <c r="K5" s="635"/>
      <c r="L5" s="635"/>
    </row>
    <row r="6" spans="1:12" ht="15.75">
      <c r="A6" s="648" t="s">
        <v>888</v>
      </c>
      <c r="B6" s="652"/>
      <c r="C6" s="652"/>
      <c r="D6" s="652"/>
      <c r="E6" s="652"/>
      <c r="F6" s="652"/>
      <c r="G6" s="652"/>
      <c r="H6" s="652"/>
      <c r="I6" s="652"/>
      <c r="J6" s="652"/>
      <c r="K6" s="652"/>
      <c r="L6" s="650" t="s">
        <v>889</v>
      </c>
    </row>
    <row r="7" spans="1:12" ht="30.75" customHeight="1" thickBot="1">
      <c r="A7" s="985" t="s">
        <v>377</v>
      </c>
      <c r="B7" s="999" t="s">
        <v>376</v>
      </c>
      <c r="C7" s="999"/>
      <c r="D7" s="999"/>
      <c r="E7" s="999"/>
      <c r="F7" s="999"/>
      <c r="G7" s="999"/>
      <c r="H7" s="999"/>
      <c r="I7" s="999"/>
      <c r="J7" s="999"/>
      <c r="K7" s="1000" t="s">
        <v>375</v>
      </c>
      <c r="L7" s="997" t="s">
        <v>374</v>
      </c>
    </row>
    <row r="8" spans="1:12" ht="60.75" customHeight="1">
      <c r="A8" s="986"/>
      <c r="B8" s="303" t="s">
        <v>373</v>
      </c>
      <c r="C8" s="303" t="s">
        <v>997</v>
      </c>
      <c r="D8" s="303" t="s">
        <v>371</v>
      </c>
      <c r="E8" s="303" t="s">
        <v>370</v>
      </c>
      <c r="F8" s="303" t="s">
        <v>369</v>
      </c>
      <c r="G8" s="303" t="s">
        <v>975</v>
      </c>
      <c r="H8" s="303" t="s">
        <v>368</v>
      </c>
      <c r="I8" s="303" t="s">
        <v>293</v>
      </c>
      <c r="J8" s="583" t="s">
        <v>9</v>
      </c>
      <c r="K8" s="1023"/>
      <c r="L8" s="1037"/>
    </row>
    <row r="9" spans="1:12" ht="24" customHeight="1" thickBot="1">
      <c r="A9" s="306" t="s">
        <v>367</v>
      </c>
      <c r="B9" s="422">
        <v>1</v>
      </c>
      <c r="C9" s="423">
        <v>0</v>
      </c>
      <c r="D9" s="423">
        <v>0</v>
      </c>
      <c r="E9" s="423">
        <v>0</v>
      </c>
      <c r="F9" s="423">
        <v>0</v>
      </c>
      <c r="G9" s="423">
        <v>0</v>
      </c>
      <c r="H9" s="423">
        <v>0</v>
      </c>
      <c r="I9" s="423">
        <v>0</v>
      </c>
      <c r="J9" s="424">
        <f>SUM(B9:I9)</f>
        <v>1</v>
      </c>
      <c r="K9" s="425">
        <f t="shared" ref="K9:K16" si="0">J9/$J$17%</f>
        <v>0.2</v>
      </c>
      <c r="L9" s="307" t="s">
        <v>366</v>
      </c>
    </row>
    <row r="10" spans="1:12" ht="24" customHeight="1" thickBot="1">
      <c r="A10" s="221" t="s">
        <v>365</v>
      </c>
      <c r="B10" s="418">
        <v>1</v>
      </c>
      <c r="C10" s="401">
        <v>1</v>
      </c>
      <c r="D10" s="401">
        <v>1</v>
      </c>
      <c r="E10" s="401">
        <v>2</v>
      </c>
      <c r="F10" s="401">
        <v>0</v>
      </c>
      <c r="G10" s="401">
        <v>0</v>
      </c>
      <c r="H10" s="401">
        <v>0</v>
      </c>
      <c r="I10" s="401">
        <v>0</v>
      </c>
      <c r="J10" s="424">
        <f t="shared" ref="J10:J16" si="1">SUM(B10:I10)</f>
        <v>5</v>
      </c>
      <c r="K10" s="420">
        <f t="shared" si="0"/>
        <v>1</v>
      </c>
      <c r="L10" s="132" t="s">
        <v>364</v>
      </c>
    </row>
    <row r="11" spans="1:12" ht="24" customHeight="1" thickBot="1">
      <c r="A11" s="220" t="s">
        <v>363</v>
      </c>
      <c r="B11" s="418">
        <v>3</v>
      </c>
      <c r="C11" s="401">
        <v>1</v>
      </c>
      <c r="D11" s="401">
        <v>1</v>
      </c>
      <c r="E11" s="401">
        <v>10</v>
      </c>
      <c r="F11" s="401">
        <v>6</v>
      </c>
      <c r="G11" s="401">
        <v>1</v>
      </c>
      <c r="H11" s="401">
        <v>2</v>
      </c>
      <c r="I11" s="401">
        <v>0</v>
      </c>
      <c r="J11" s="424">
        <f t="shared" si="1"/>
        <v>24</v>
      </c>
      <c r="K11" s="421">
        <f t="shared" si="0"/>
        <v>4.8</v>
      </c>
      <c r="L11" s="131" t="s">
        <v>362</v>
      </c>
    </row>
    <row r="12" spans="1:12" ht="24" customHeight="1" thickBot="1">
      <c r="A12" s="221" t="s">
        <v>361</v>
      </c>
      <c r="B12" s="418">
        <v>2</v>
      </c>
      <c r="C12" s="401">
        <v>0</v>
      </c>
      <c r="D12" s="401">
        <v>2</v>
      </c>
      <c r="E12" s="401">
        <v>10</v>
      </c>
      <c r="F12" s="401">
        <v>17</v>
      </c>
      <c r="G12" s="401">
        <v>0</v>
      </c>
      <c r="H12" s="401">
        <v>2</v>
      </c>
      <c r="I12" s="401">
        <v>0</v>
      </c>
      <c r="J12" s="424">
        <f t="shared" si="1"/>
        <v>33</v>
      </c>
      <c r="K12" s="420">
        <f t="shared" si="0"/>
        <v>6.6</v>
      </c>
      <c r="L12" s="132" t="s">
        <v>360</v>
      </c>
    </row>
    <row r="13" spans="1:12" ht="24" customHeight="1" thickBot="1">
      <c r="A13" s="220" t="s">
        <v>359</v>
      </c>
      <c r="B13" s="418">
        <v>1</v>
      </c>
      <c r="C13" s="401">
        <v>1</v>
      </c>
      <c r="D13" s="401">
        <v>6</v>
      </c>
      <c r="E13" s="401">
        <v>21</v>
      </c>
      <c r="F13" s="401">
        <v>91</v>
      </c>
      <c r="G13" s="401">
        <v>6</v>
      </c>
      <c r="H13" s="401">
        <v>31</v>
      </c>
      <c r="I13" s="401">
        <v>1</v>
      </c>
      <c r="J13" s="424">
        <f t="shared" si="1"/>
        <v>158</v>
      </c>
      <c r="K13" s="421">
        <f t="shared" si="0"/>
        <v>31.6</v>
      </c>
      <c r="L13" s="131" t="s">
        <v>358</v>
      </c>
    </row>
    <row r="14" spans="1:12" ht="24" customHeight="1" thickBot="1">
      <c r="A14" s="662" t="s">
        <v>984</v>
      </c>
      <c r="B14" s="418">
        <v>0</v>
      </c>
      <c r="C14" s="401">
        <v>0</v>
      </c>
      <c r="D14" s="401">
        <v>1</v>
      </c>
      <c r="E14" s="401">
        <v>2</v>
      </c>
      <c r="F14" s="401">
        <v>9</v>
      </c>
      <c r="G14" s="401">
        <v>4</v>
      </c>
      <c r="H14" s="401">
        <v>12</v>
      </c>
      <c r="I14" s="401">
        <v>0</v>
      </c>
      <c r="J14" s="424">
        <f t="shared" si="1"/>
        <v>28</v>
      </c>
      <c r="K14" s="420">
        <f t="shared" si="0"/>
        <v>5.6</v>
      </c>
      <c r="L14" s="663" t="s">
        <v>985</v>
      </c>
    </row>
    <row r="15" spans="1:12" ht="24" customHeight="1" thickBot="1">
      <c r="A15" s="220" t="s">
        <v>357</v>
      </c>
      <c r="B15" s="418">
        <v>0</v>
      </c>
      <c r="C15" s="401">
        <v>1</v>
      </c>
      <c r="D15" s="401">
        <v>1</v>
      </c>
      <c r="E15" s="401">
        <v>9</v>
      </c>
      <c r="F15" s="401">
        <v>67</v>
      </c>
      <c r="G15" s="401">
        <v>13</v>
      </c>
      <c r="H15" s="401">
        <v>153</v>
      </c>
      <c r="I15" s="401">
        <v>1</v>
      </c>
      <c r="J15" s="424">
        <f t="shared" si="1"/>
        <v>245</v>
      </c>
      <c r="K15" s="421">
        <f t="shared" si="0"/>
        <v>49</v>
      </c>
      <c r="L15" s="131" t="s">
        <v>356</v>
      </c>
    </row>
    <row r="16" spans="1:12" ht="24" customHeight="1">
      <c r="A16" s="426" t="s">
        <v>19</v>
      </c>
      <c r="B16" s="427">
        <v>1</v>
      </c>
      <c r="C16" s="428">
        <v>0</v>
      </c>
      <c r="D16" s="428">
        <v>0</v>
      </c>
      <c r="E16" s="428">
        <v>0</v>
      </c>
      <c r="F16" s="428">
        <v>2</v>
      </c>
      <c r="G16" s="428">
        <v>0</v>
      </c>
      <c r="H16" s="428">
        <v>3</v>
      </c>
      <c r="I16" s="428">
        <v>0</v>
      </c>
      <c r="J16" s="779">
        <f t="shared" si="1"/>
        <v>6</v>
      </c>
      <c r="K16" s="429">
        <f t="shared" si="0"/>
        <v>1.2</v>
      </c>
      <c r="L16" s="430" t="s">
        <v>355</v>
      </c>
    </row>
    <row r="17" spans="1:12" ht="27" customHeight="1">
      <c r="A17" s="431" t="s">
        <v>354</v>
      </c>
      <c r="B17" s="436">
        <f t="shared" ref="B17:K17" si="2">SUM(B7:B16)</f>
        <v>9</v>
      </c>
      <c r="C17" s="436">
        <f t="shared" si="2"/>
        <v>4</v>
      </c>
      <c r="D17" s="436">
        <f t="shared" si="2"/>
        <v>12</v>
      </c>
      <c r="E17" s="436">
        <f t="shared" si="2"/>
        <v>54</v>
      </c>
      <c r="F17" s="436">
        <f t="shared" si="2"/>
        <v>192</v>
      </c>
      <c r="G17" s="436">
        <f t="shared" si="2"/>
        <v>24</v>
      </c>
      <c r="H17" s="436">
        <f t="shared" si="2"/>
        <v>203</v>
      </c>
      <c r="I17" s="436">
        <f t="shared" si="2"/>
        <v>2</v>
      </c>
      <c r="J17" s="436">
        <f t="shared" si="2"/>
        <v>500</v>
      </c>
      <c r="K17" s="412">
        <f t="shared" si="2"/>
        <v>100.00000000000001</v>
      </c>
      <c r="L17" s="432" t="s">
        <v>22</v>
      </c>
    </row>
    <row r="18" spans="1:12" ht="27" customHeight="1">
      <c r="A18" s="433" t="s">
        <v>353</v>
      </c>
      <c r="B18" s="415">
        <f>B17/$J$17%</f>
        <v>1.8</v>
      </c>
      <c r="C18" s="415">
        <f t="shared" ref="C18:I18" si="3">C17/$J$17%</f>
        <v>0.8</v>
      </c>
      <c r="D18" s="415">
        <f t="shared" si="3"/>
        <v>2.4</v>
      </c>
      <c r="E18" s="415">
        <f t="shared" si="3"/>
        <v>10.8</v>
      </c>
      <c r="F18" s="415">
        <f t="shared" si="3"/>
        <v>38.4</v>
      </c>
      <c r="G18" s="415">
        <f t="shared" si="3"/>
        <v>4.8</v>
      </c>
      <c r="H18" s="415">
        <f t="shared" si="3"/>
        <v>40.6</v>
      </c>
      <c r="I18" s="415">
        <f t="shared" si="3"/>
        <v>0.4</v>
      </c>
      <c r="J18" s="415">
        <f>SUM(B18:I18)</f>
        <v>100</v>
      </c>
      <c r="K18" s="434"/>
      <c r="L18" s="435" t="s">
        <v>352</v>
      </c>
    </row>
  </sheetData>
  <mergeCells count="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rightToLeft="1" view="pageBreakPreview" zoomScaleNormal="75" zoomScaleSheetLayoutView="100" workbookViewId="0">
      <selection activeCell="N8" sqref="N8"/>
    </sheetView>
  </sheetViews>
  <sheetFormatPr defaultColWidth="9.140625" defaultRowHeight="12.75"/>
  <cols>
    <col min="1" max="1" width="18.85546875" style="1" customWidth="1"/>
    <col min="2" max="10" width="10.42578125" style="1" customWidth="1"/>
    <col min="11" max="11" width="10.7109375" style="1" customWidth="1"/>
    <col min="12" max="12" width="23.7109375" style="1" customWidth="1"/>
    <col min="13" max="16384" width="9.140625" style="1"/>
  </cols>
  <sheetData>
    <row r="1" spans="1:12" s="2" customFormat="1" ht="24" customHeight="1">
      <c r="A1" s="934" t="s">
        <v>579</v>
      </c>
      <c r="B1" s="934"/>
      <c r="C1" s="934"/>
      <c r="D1" s="934"/>
      <c r="E1" s="934"/>
      <c r="F1" s="934"/>
      <c r="G1" s="934"/>
      <c r="H1" s="934"/>
      <c r="I1" s="934"/>
      <c r="J1" s="934"/>
      <c r="K1" s="934"/>
      <c r="L1" s="934"/>
    </row>
    <row r="2" spans="1:12" s="3" customFormat="1" ht="18">
      <c r="A2" s="958" t="s">
        <v>578</v>
      </c>
      <c r="B2" s="958"/>
      <c r="C2" s="958"/>
      <c r="D2" s="958"/>
      <c r="E2" s="958"/>
      <c r="F2" s="958"/>
      <c r="G2" s="958"/>
      <c r="H2" s="958"/>
      <c r="I2" s="958"/>
      <c r="J2" s="958"/>
      <c r="K2" s="958"/>
      <c r="L2" s="958"/>
    </row>
    <row r="3" spans="1:12" s="2" customFormat="1" ht="15.75">
      <c r="A3" s="959">
        <v>2015</v>
      </c>
      <c r="B3" s="959"/>
      <c r="C3" s="959"/>
      <c r="D3" s="959"/>
      <c r="E3" s="959"/>
      <c r="F3" s="959"/>
      <c r="G3" s="959"/>
      <c r="H3" s="959"/>
      <c r="I3" s="959"/>
      <c r="J3" s="959"/>
      <c r="K3" s="959"/>
      <c r="L3" s="959"/>
    </row>
    <row r="4" spans="1:12" s="2" customFormat="1" ht="15.75">
      <c r="A4" s="959" t="s">
        <v>1</v>
      </c>
      <c r="B4" s="959"/>
      <c r="C4" s="959"/>
      <c r="D4" s="959"/>
      <c r="E4" s="959"/>
      <c r="F4" s="959"/>
      <c r="G4" s="959"/>
      <c r="H4" s="959"/>
      <c r="I4" s="959"/>
      <c r="J4" s="959"/>
      <c r="K4" s="959"/>
      <c r="L4" s="959"/>
    </row>
    <row r="5" spans="1:12" s="2" customFormat="1" ht="15.75">
      <c r="A5" s="635"/>
      <c r="B5" s="635"/>
      <c r="C5" s="635"/>
      <c r="D5" s="635"/>
      <c r="E5" s="635"/>
      <c r="F5" s="635"/>
      <c r="G5" s="635"/>
      <c r="H5" s="635"/>
      <c r="I5" s="635"/>
      <c r="J5" s="635"/>
      <c r="K5" s="635"/>
      <c r="L5" s="635"/>
    </row>
    <row r="6" spans="1:12" ht="15.75">
      <c r="A6" s="648" t="s">
        <v>886</v>
      </c>
      <c r="B6" s="652"/>
      <c r="C6" s="652"/>
      <c r="D6" s="652"/>
      <c r="E6" s="652"/>
      <c r="F6" s="652"/>
      <c r="G6" s="652"/>
      <c r="H6" s="652"/>
      <c r="I6" s="652"/>
      <c r="J6" s="652"/>
      <c r="K6" s="652"/>
      <c r="L6" s="650" t="s">
        <v>887</v>
      </c>
    </row>
    <row r="7" spans="1:12" ht="30.75" customHeight="1" thickBot="1">
      <c r="A7" s="985" t="s">
        <v>377</v>
      </c>
      <c r="B7" s="999" t="s">
        <v>376</v>
      </c>
      <c r="C7" s="999"/>
      <c r="D7" s="999"/>
      <c r="E7" s="999"/>
      <c r="F7" s="999"/>
      <c r="G7" s="999"/>
      <c r="H7" s="999"/>
      <c r="I7" s="999"/>
      <c r="J7" s="999"/>
      <c r="K7" s="1000" t="s">
        <v>375</v>
      </c>
      <c r="L7" s="997" t="s">
        <v>374</v>
      </c>
    </row>
    <row r="8" spans="1:12" ht="60.75" customHeight="1">
      <c r="A8" s="986"/>
      <c r="B8" s="303" t="s">
        <v>373</v>
      </c>
      <c r="C8" s="303" t="s">
        <v>372</v>
      </c>
      <c r="D8" s="303" t="s">
        <v>371</v>
      </c>
      <c r="E8" s="303" t="s">
        <v>370</v>
      </c>
      <c r="F8" s="303" t="s">
        <v>369</v>
      </c>
      <c r="G8" s="303" t="s">
        <v>975</v>
      </c>
      <c r="H8" s="303" t="s">
        <v>368</v>
      </c>
      <c r="I8" s="303" t="s">
        <v>293</v>
      </c>
      <c r="J8" s="583" t="s">
        <v>9</v>
      </c>
      <c r="K8" s="1023"/>
      <c r="L8" s="1037"/>
    </row>
    <row r="9" spans="1:12" ht="26.1" customHeight="1" thickBot="1">
      <c r="A9" s="306" t="s">
        <v>367</v>
      </c>
      <c r="B9" s="422">
        <v>4</v>
      </c>
      <c r="C9" s="423">
        <v>0</v>
      </c>
      <c r="D9" s="423">
        <v>1</v>
      </c>
      <c r="E9" s="423">
        <v>2</v>
      </c>
      <c r="F9" s="423">
        <v>0</v>
      </c>
      <c r="G9" s="423">
        <v>0</v>
      </c>
      <c r="H9" s="423">
        <v>0</v>
      </c>
      <c r="I9" s="423">
        <v>0</v>
      </c>
      <c r="J9" s="424">
        <f>SUM(B9:I9)</f>
        <v>7</v>
      </c>
      <c r="K9" s="425">
        <f>J9/$J$17%</f>
        <v>0.53557765876052021</v>
      </c>
      <c r="L9" s="307" t="s">
        <v>366</v>
      </c>
    </row>
    <row r="10" spans="1:12" ht="26.1" customHeight="1" thickBot="1">
      <c r="A10" s="221" t="s">
        <v>365</v>
      </c>
      <c r="B10" s="418">
        <v>1</v>
      </c>
      <c r="C10" s="401">
        <v>7</v>
      </c>
      <c r="D10" s="401">
        <v>4</v>
      </c>
      <c r="E10" s="401">
        <v>4</v>
      </c>
      <c r="F10" s="401">
        <v>5</v>
      </c>
      <c r="G10" s="401">
        <v>1</v>
      </c>
      <c r="H10" s="401">
        <v>0</v>
      </c>
      <c r="I10" s="401">
        <v>0</v>
      </c>
      <c r="J10" s="424">
        <f t="shared" ref="J10:J16" si="0">SUM(B10:I10)</f>
        <v>22</v>
      </c>
      <c r="K10" s="420">
        <f t="shared" ref="K10:K15" si="1">J10/$J$17%</f>
        <v>1.6832440703902065</v>
      </c>
      <c r="L10" s="132" t="s">
        <v>364</v>
      </c>
    </row>
    <row r="11" spans="1:12" ht="26.1" customHeight="1" thickBot="1">
      <c r="A11" s="220" t="s">
        <v>363</v>
      </c>
      <c r="B11" s="418">
        <v>9</v>
      </c>
      <c r="C11" s="401">
        <v>3</v>
      </c>
      <c r="D11" s="401">
        <v>14</v>
      </c>
      <c r="E11" s="401">
        <v>32</v>
      </c>
      <c r="F11" s="401">
        <v>46</v>
      </c>
      <c r="G11" s="401">
        <v>4</v>
      </c>
      <c r="H11" s="401">
        <v>10</v>
      </c>
      <c r="I11" s="401">
        <v>1</v>
      </c>
      <c r="J11" s="424">
        <f t="shared" si="0"/>
        <v>119</v>
      </c>
      <c r="K11" s="421">
        <f t="shared" si="1"/>
        <v>9.1048201989288451</v>
      </c>
      <c r="L11" s="131" t="s">
        <v>362</v>
      </c>
    </row>
    <row r="12" spans="1:12" ht="26.1" customHeight="1" thickBot="1">
      <c r="A12" s="221" t="s">
        <v>361</v>
      </c>
      <c r="B12" s="418">
        <v>10</v>
      </c>
      <c r="C12" s="401">
        <v>3</v>
      </c>
      <c r="D12" s="401">
        <v>17</v>
      </c>
      <c r="E12" s="401">
        <v>27</v>
      </c>
      <c r="F12" s="401">
        <v>74</v>
      </c>
      <c r="G12" s="401">
        <v>0</v>
      </c>
      <c r="H12" s="401">
        <v>22</v>
      </c>
      <c r="I12" s="401">
        <v>0</v>
      </c>
      <c r="J12" s="424">
        <f t="shared" si="0"/>
        <v>153</v>
      </c>
      <c r="K12" s="420">
        <f t="shared" si="1"/>
        <v>11.7061973986228</v>
      </c>
      <c r="L12" s="132" t="s">
        <v>360</v>
      </c>
    </row>
    <row r="13" spans="1:12" ht="26.1" customHeight="1" thickBot="1">
      <c r="A13" s="220" t="s">
        <v>359</v>
      </c>
      <c r="B13" s="418">
        <v>6</v>
      </c>
      <c r="C13" s="401">
        <v>3</v>
      </c>
      <c r="D13" s="401">
        <v>15</v>
      </c>
      <c r="E13" s="401">
        <v>65</v>
      </c>
      <c r="F13" s="401">
        <v>321</v>
      </c>
      <c r="G13" s="401">
        <v>9</v>
      </c>
      <c r="H13" s="401">
        <v>88</v>
      </c>
      <c r="I13" s="401">
        <v>1</v>
      </c>
      <c r="J13" s="424">
        <f t="shared" si="0"/>
        <v>508</v>
      </c>
      <c r="K13" s="421">
        <f t="shared" si="1"/>
        <v>38.867635807192045</v>
      </c>
      <c r="L13" s="131" t="s">
        <v>358</v>
      </c>
    </row>
    <row r="14" spans="1:12" ht="26.1" customHeight="1" thickBot="1">
      <c r="A14" s="662" t="s">
        <v>984</v>
      </c>
      <c r="B14" s="418">
        <v>0</v>
      </c>
      <c r="C14" s="401">
        <v>0</v>
      </c>
      <c r="D14" s="401">
        <v>3</v>
      </c>
      <c r="E14" s="401">
        <v>3</v>
      </c>
      <c r="F14" s="401">
        <v>22</v>
      </c>
      <c r="G14" s="401">
        <v>4</v>
      </c>
      <c r="H14" s="401">
        <v>18</v>
      </c>
      <c r="I14" s="401">
        <v>0</v>
      </c>
      <c r="J14" s="424">
        <f t="shared" si="0"/>
        <v>50</v>
      </c>
      <c r="K14" s="420">
        <f t="shared" si="1"/>
        <v>3.8255547054322876</v>
      </c>
      <c r="L14" s="663" t="s">
        <v>985</v>
      </c>
    </row>
    <row r="15" spans="1:12" ht="26.1" customHeight="1" thickBot="1">
      <c r="A15" s="220" t="s">
        <v>357</v>
      </c>
      <c r="B15" s="418">
        <v>0</v>
      </c>
      <c r="C15" s="401">
        <v>1</v>
      </c>
      <c r="D15" s="401">
        <v>4</v>
      </c>
      <c r="E15" s="401">
        <v>22</v>
      </c>
      <c r="F15" s="401">
        <v>173</v>
      </c>
      <c r="G15" s="401">
        <v>14</v>
      </c>
      <c r="H15" s="401">
        <v>224</v>
      </c>
      <c r="I15" s="401">
        <v>1</v>
      </c>
      <c r="J15" s="424">
        <f t="shared" si="0"/>
        <v>439</v>
      </c>
      <c r="K15" s="421">
        <f t="shared" si="1"/>
        <v>33.588370313695485</v>
      </c>
      <c r="L15" s="131" t="s">
        <v>356</v>
      </c>
    </row>
    <row r="16" spans="1:12" ht="26.1" customHeight="1">
      <c r="A16" s="426" t="s">
        <v>19</v>
      </c>
      <c r="B16" s="427">
        <v>2</v>
      </c>
      <c r="C16" s="428">
        <v>0</v>
      </c>
      <c r="D16" s="428">
        <v>0</v>
      </c>
      <c r="E16" s="428">
        <v>0</v>
      </c>
      <c r="F16" s="428">
        <v>4</v>
      </c>
      <c r="G16" s="428">
        <v>0</v>
      </c>
      <c r="H16" s="428">
        <v>3</v>
      </c>
      <c r="I16" s="428">
        <v>0</v>
      </c>
      <c r="J16" s="779">
        <f t="shared" si="0"/>
        <v>9</v>
      </c>
      <c r="K16" s="429">
        <f>J16/$J$17%</f>
        <v>0.68859984697781174</v>
      </c>
      <c r="L16" s="430" t="s">
        <v>355</v>
      </c>
    </row>
    <row r="17" spans="1:12" ht="26.1" customHeight="1">
      <c r="A17" s="437" t="s">
        <v>354</v>
      </c>
      <c r="B17" s="411">
        <f t="shared" ref="B17:J17" si="2">SUM(B7:B16)</f>
        <v>32</v>
      </c>
      <c r="C17" s="411">
        <f t="shared" si="2"/>
        <v>17</v>
      </c>
      <c r="D17" s="411">
        <f t="shared" si="2"/>
        <v>58</v>
      </c>
      <c r="E17" s="411">
        <f t="shared" si="2"/>
        <v>155</v>
      </c>
      <c r="F17" s="411">
        <f t="shared" si="2"/>
        <v>645</v>
      </c>
      <c r="G17" s="411">
        <f t="shared" si="2"/>
        <v>32</v>
      </c>
      <c r="H17" s="411">
        <f t="shared" si="2"/>
        <v>365</v>
      </c>
      <c r="I17" s="411">
        <f t="shared" si="2"/>
        <v>3</v>
      </c>
      <c r="J17" s="436">
        <f t="shared" si="2"/>
        <v>1307</v>
      </c>
      <c r="K17" s="438">
        <f t="shared" ref="K17" si="3">SUM(K7:K16)</f>
        <v>100</v>
      </c>
      <c r="L17" s="218" t="s">
        <v>22</v>
      </c>
    </row>
    <row r="18" spans="1:12" ht="26.1" customHeight="1">
      <c r="A18" s="433" t="s">
        <v>353</v>
      </c>
      <c r="B18" s="415">
        <f>B17/$J$17%</f>
        <v>2.4483550114766639</v>
      </c>
      <c r="C18" s="415">
        <f t="shared" ref="C18:I18" si="4">C17/$J$17%</f>
        <v>1.3006885998469777</v>
      </c>
      <c r="D18" s="415">
        <f t="shared" si="4"/>
        <v>4.4376434583014532</v>
      </c>
      <c r="E18" s="415">
        <f t="shared" si="4"/>
        <v>11.859219586840091</v>
      </c>
      <c r="F18" s="415">
        <f t="shared" si="4"/>
        <v>49.349655700076511</v>
      </c>
      <c r="G18" s="415">
        <f t="shared" si="4"/>
        <v>2.4483550114766639</v>
      </c>
      <c r="H18" s="415">
        <f t="shared" si="4"/>
        <v>27.926549349655698</v>
      </c>
      <c r="I18" s="415">
        <f t="shared" si="4"/>
        <v>0.22953328232593725</v>
      </c>
      <c r="J18" s="415">
        <f>SUM(B18:I18)</f>
        <v>99.999999999999986</v>
      </c>
      <c r="K18" s="434"/>
      <c r="L18" s="435" t="s">
        <v>352</v>
      </c>
    </row>
    <row r="27" spans="1:12">
      <c r="A27" s="1" t="s">
        <v>377</v>
      </c>
      <c r="B27" s="1" t="s">
        <v>392</v>
      </c>
      <c r="C27" s="1" t="s">
        <v>391</v>
      </c>
    </row>
    <row r="28" spans="1:12">
      <c r="A28" s="1" t="s">
        <v>390</v>
      </c>
      <c r="B28" s="1">
        <f>J9</f>
        <v>7</v>
      </c>
      <c r="C28" s="1">
        <f>B17</f>
        <v>32</v>
      </c>
    </row>
    <row r="29" spans="1:12">
      <c r="A29" s="1" t="s">
        <v>389</v>
      </c>
      <c r="B29" s="1">
        <f t="shared" ref="B29:B34" si="5">J10</f>
        <v>22</v>
      </c>
      <c r="C29" s="1">
        <f>C17</f>
        <v>17</v>
      </c>
    </row>
    <row r="30" spans="1:12">
      <c r="A30" s="1" t="s">
        <v>388</v>
      </c>
      <c r="B30" s="1">
        <f t="shared" si="5"/>
        <v>119</v>
      </c>
      <c r="C30" s="1">
        <f>D17</f>
        <v>58</v>
      </c>
    </row>
    <row r="31" spans="1:12">
      <c r="A31" s="1" t="s">
        <v>387</v>
      </c>
      <c r="B31" s="1">
        <f t="shared" si="5"/>
        <v>153</v>
      </c>
      <c r="C31" s="1">
        <f>E17</f>
        <v>155</v>
      </c>
    </row>
    <row r="32" spans="1:12">
      <c r="A32" s="1" t="s">
        <v>386</v>
      </c>
      <c r="B32" s="1">
        <f t="shared" si="5"/>
        <v>508</v>
      </c>
      <c r="C32" s="1">
        <f>F17</f>
        <v>645</v>
      </c>
    </row>
    <row r="33" spans="1:3" ht="25.5">
      <c r="A33" s="74" t="s">
        <v>976</v>
      </c>
      <c r="B33" s="1">
        <f t="shared" si="5"/>
        <v>50</v>
      </c>
      <c r="C33" s="1">
        <f>G17</f>
        <v>32</v>
      </c>
    </row>
    <row r="34" spans="1:3">
      <c r="A34" s="1" t="s">
        <v>385</v>
      </c>
      <c r="B34" s="1">
        <f t="shared" si="5"/>
        <v>439</v>
      </c>
      <c r="C34" s="1">
        <f>H17</f>
        <v>365</v>
      </c>
    </row>
    <row r="35" spans="1:3">
      <c r="A35" s="1" t="s">
        <v>384</v>
      </c>
      <c r="B35" s="1">
        <f>J16</f>
        <v>9</v>
      </c>
      <c r="C35" s="1">
        <f>I17</f>
        <v>3</v>
      </c>
    </row>
    <row r="36" spans="1:3">
      <c r="B36" s="1">
        <f>SUM(B28:B35)</f>
        <v>1307</v>
      </c>
      <c r="C36" s="1">
        <f>SUM(C28:C35)</f>
        <v>1307</v>
      </c>
    </row>
  </sheetData>
  <mergeCells count="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5:N35"/>
  <sheetViews>
    <sheetView rightToLeft="1" view="pageBreakPreview" zoomScaleNormal="100" zoomScaleSheetLayoutView="100" workbookViewId="0">
      <selection activeCell="O6" sqref="O6"/>
    </sheetView>
  </sheetViews>
  <sheetFormatPr defaultColWidth="9.140625" defaultRowHeight="12.75"/>
  <cols>
    <col min="1" max="16384" width="9.140625" style="1"/>
  </cols>
  <sheetData>
    <row r="35" spans="1:14" ht="15.75">
      <c r="A35" s="945" t="s">
        <v>580</v>
      </c>
      <c r="B35" s="945"/>
      <c r="C35" s="945"/>
      <c r="D35" s="945"/>
      <c r="E35" s="945"/>
      <c r="F35" s="945"/>
      <c r="G35" s="945"/>
      <c r="H35" s="945"/>
      <c r="I35" s="945"/>
      <c r="J35" s="945"/>
      <c r="K35" s="945"/>
      <c r="L35" s="945"/>
      <c r="M35" s="945"/>
      <c r="N35" s="945"/>
    </row>
  </sheetData>
  <mergeCells count="1">
    <mergeCell ref="A35:N35"/>
  </mergeCells>
  <printOptions horizontalCentered="1" verticalCentered="1"/>
  <pageMargins left="0" right="0" top="0" bottom="0" header="0" footer="0"/>
  <pageSetup paperSize="9" orientation="landscape"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rightToLeft="1" view="pageBreakPreview" zoomScaleNormal="75" zoomScaleSheetLayoutView="100" workbookViewId="0">
      <selection activeCell="N11" sqref="N11"/>
    </sheetView>
  </sheetViews>
  <sheetFormatPr defaultColWidth="9.140625" defaultRowHeight="12.75"/>
  <cols>
    <col min="1" max="1" width="18.85546875" style="1" customWidth="1"/>
    <col min="2" max="9" width="10" style="1" customWidth="1"/>
    <col min="10" max="10" width="9.140625" style="1" customWidth="1"/>
    <col min="11" max="11" width="10.7109375" style="1" customWidth="1"/>
    <col min="12" max="12" width="23.7109375" style="1" customWidth="1"/>
    <col min="13" max="16384" width="9.140625" style="1"/>
  </cols>
  <sheetData>
    <row r="1" spans="1:12" s="2" customFormat="1" ht="24" customHeight="1">
      <c r="A1" s="934" t="s">
        <v>583</v>
      </c>
      <c r="B1" s="934"/>
      <c r="C1" s="934"/>
      <c r="D1" s="934"/>
      <c r="E1" s="934"/>
      <c r="F1" s="934"/>
      <c r="G1" s="934"/>
      <c r="H1" s="934"/>
      <c r="I1" s="934"/>
      <c r="J1" s="934"/>
      <c r="K1" s="934"/>
      <c r="L1" s="934"/>
    </row>
    <row r="2" spans="1:12" s="3" customFormat="1" ht="18">
      <c r="A2" s="958" t="s">
        <v>582</v>
      </c>
      <c r="B2" s="958"/>
      <c r="C2" s="958"/>
      <c r="D2" s="958"/>
      <c r="E2" s="958"/>
      <c r="F2" s="958"/>
      <c r="G2" s="958"/>
      <c r="H2" s="958"/>
      <c r="I2" s="958"/>
      <c r="J2" s="958"/>
      <c r="K2" s="958"/>
      <c r="L2" s="958"/>
    </row>
    <row r="3" spans="1:12" s="2" customFormat="1" ht="15.75">
      <c r="A3" s="959">
        <v>2015</v>
      </c>
      <c r="B3" s="959"/>
      <c r="C3" s="959"/>
      <c r="D3" s="959"/>
      <c r="E3" s="959"/>
      <c r="F3" s="959"/>
      <c r="G3" s="959"/>
      <c r="H3" s="959"/>
      <c r="I3" s="959"/>
      <c r="J3" s="959"/>
      <c r="K3" s="959"/>
      <c r="L3" s="959"/>
    </row>
    <row r="4" spans="1:12" s="2" customFormat="1" ht="15.75">
      <c r="A4" s="959" t="s">
        <v>330</v>
      </c>
      <c r="B4" s="959"/>
      <c r="C4" s="959"/>
      <c r="D4" s="959"/>
      <c r="E4" s="959"/>
      <c r="F4" s="959"/>
      <c r="G4" s="959"/>
      <c r="H4" s="959"/>
      <c r="I4" s="959"/>
      <c r="J4" s="959"/>
      <c r="K4" s="959"/>
      <c r="L4" s="959"/>
    </row>
    <row r="5" spans="1:12" s="2" customFormat="1" ht="15.75">
      <c r="A5" s="635"/>
      <c r="B5" s="635"/>
      <c r="C5" s="635"/>
      <c r="D5" s="635"/>
      <c r="E5" s="635"/>
      <c r="F5" s="635"/>
      <c r="G5" s="635"/>
      <c r="H5" s="635"/>
      <c r="I5" s="635"/>
      <c r="J5" s="635"/>
      <c r="K5" s="635"/>
      <c r="L5" s="635"/>
    </row>
    <row r="6" spans="1:12" ht="15.75">
      <c r="A6" s="648" t="s">
        <v>602</v>
      </c>
      <c r="B6" s="652"/>
      <c r="C6" s="652"/>
      <c r="D6" s="652"/>
      <c r="E6" s="652"/>
      <c r="F6" s="652"/>
      <c r="G6" s="652"/>
      <c r="H6" s="652"/>
      <c r="I6" s="652"/>
      <c r="J6" s="652"/>
      <c r="K6" s="652"/>
      <c r="L6" s="650" t="s">
        <v>601</v>
      </c>
    </row>
    <row r="7" spans="1:12" ht="30.75" customHeight="1" thickBot="1">
      <c r="A7" s="985" t="s">
        <v>524</v>
      </c>
      <c r="B7" s="999" t="s">
        <v>376</v>
      </c>
      <c r="C7" s="999"/>
      <c r="D7" s="999"/>
      <c r="E7" s="999"/>
      <c r="F7" s="999"/>
      <c r="G7" s="999"/>
      <c r="H7" s="999"/>
      <c r="I7" s="999"/>
      <c r="J7" s="999"/>
      <c r="K7" s="1000" t="s">
        <v>375</v>
      </c>
      <c r="L7" s="997" t="s">
        <v>581</v>
      </c>
    </row>
    <row r="8" spans="1:12" ht="60.75" customHeight="1">
      <c r="A8" s="992"/>
      <c r="B8" s="303" t="s">
        <v>373</v>
      </c>
      <c r="C8" s="303" t="s">
        <v>997</v>
      </c>
      <c r="D8" s="303" t="s">
        <v>371</v>
      </c>
      <c r="E8" s="303" t="s">
        <v>370</v>
      </c>
      <c r="F8" s="303" t="s">
        <v>369</v>
      </c>
      <c r="G8" s="303" t="s">
        <v>975</v>
      </c>
      <c r="H8" s="303" t="s">
        <v>368</v>
      </c>
      <c r="I8" s="303" t="s">
        <v>293</v>
      </c>
      <c r="J8" s="583" t="s">
        <v>9</v>
      </c>
      <c r="K8" s="1001"/>
      <c r="L8" s="998"/>
    </row>
    <row r="9" spans="1:12" ht="15.75" thickBot="1">
      <c r="A9" s="223">
        <v>-20</v>
      </c>
      <c r="B9" s="205">
        <v>0</v>
      </c>
      <c r="C9" s="152">
        <v>0</v>
      </c>
      <c r="D9" s="152">
        <v>4</v>
      </c>
      <c r="E9" s="152">
        <v>11</v>
      </c>
      <c r="F9" s="152">
        <v>16</v>
      </c>
      <c r="G9" s="152">
        <v>0</v>
      </c>
      <c r="H9" s="152">
        <v>0</v>
      </c>
      <c r="I9" s="152">
        <v>0</v>
      </c>
      <c r="J9" s="206">
        <f>SUM(B9:I9)</f>
        <v>31</v>
      </c>
      <c r="K9" s="9">
        <f t="shared" ref="K9:K19" si="0">J9/$J$20%</f>
        <v>4.3909348441926346</v>
      </c>
      <c r="L9" s="440">
        <v>-20</v>
      </c>
    </row>
    <row r="10" spans="1:12" ht="15.75" thickBot="1">
      <c r="A10" s="225" t="s">
        <v>311</v>
      </c>
      <c r="B10" s="418">
        <v>1</v>
      </c>
      <c r="C10" s="401">
        <v>0</v>
      </c>
      <c r="D10" s="401">
        <v>4</v>
      </c>
      <c r="E10" s="401">
        <v>28</v>
      </c>
      <c r="F10" s="401">
        <v>142</v>
      </c>
      <c r="G10" s="401">
        <v>0</v>
      </c>
      <c r="H10" s="401">
        <v>6</v>
      </c>
      <c r="I10" s="401">
        <v>1</v>
      </c>
      <c r="J10" s="206">
        <f t="shared" ref="J10:J19" si="1">SUM(B10:I10)</f>
        <v>182</v>
      </c>
      <c r="K10" s="12">
        <f t="shared" si="0"/>
        <v>25.779036827195469</v>
      </c>
      <c r="L10" s="441" t="s">
        <v>269</v>
      </c>
    </row>
    <row r="11" spans="1:12" ht="15.75" thickBot="1">
      <c r="A11" s="223" t="s">
        <v>310</v>
      </c>
      <c r="B11" s="418">
        <v>3</v>
      </c>
      <c r="C11" s="401">
        <v>4</v>
      </c>
      <c r="D11" s="401">
        <v>4</v>
      </c>
      <c r="E11" s="401">
        <v>18</v>
      </c>
      <c r="F11" s="401">
        <v>117</v>
      </c>
      <c r="G11" s="401">
        <v>3</v>
      </c>
      <c r="H11" s="401">
        <v>31</v>
      </c>
      <c r="I11" s="401">
        <v>0</v>
      </c>
      <c r="J11" s="206">
        <f t="shared" si="1"/>
        <v>180</v>
      </c>
      <c r="K11" s="9">
        <f t="shared" si="0"/>
        <v>25.495750708215297</v>
      </c>
      <c r="L11" s="440" t="s">
        <v>268</v>
      </c>
    </row>
    <row r="12" spans="1:12" ht="15.75" thickBot="1">
      <c r="A12" s="225" t="s">
        <v>309</v>
      </c>
      <c r="B12" s="418">
        <v>0</v>
      </c>
      <c r="C12" s="401">
        <v>1</v>
      </c>
      <c r="D12" s="401">
        <v>7</v>
      </c>
      <c r="E12" s="401">
        <v>10</v>
      </c>
      <c r="F12" s="401">
        <v>47</v>
      </c>
      <c r="G12" s="401">
        <v>1</v>
      </c>
      <c r="H12" s="401">
        <v>38</v>
      </c>
      <c r="I12" s="401">
        <v>0</v>
      </c>
      <c r="J12" s="206">
        <f t="shared" si="1"/>
        <v>104</v>
      </c>
      <c r="K12" s="12">
        <f t="shared" si="0"/>
        <v>14.730878186968839</v>
      </c>
      <c r="L12" s="441" t="s">
        <v>267</v>
      </c>
    </row>
    <row r="13" spans="1:12" ht="15.75" thickBot="1">
      <c r="A13" s="223" t="s">
        <v>308</v>
      </c>
      <c r="B13" s="418">
        <v>1</v>
      </c>
      <c r="C13" s="401">
        <v>0</v>
      </c>
      <c r="D13" s="401">
        <v>7</v>
      </c>
      <c r="E13" s="401">
        <v>8</v>
      </c>
      <c r="F13" s="401">
        <v>25</v>
      </c>
      <c r="G13" s="401">
        <v>2</v>
      </c>
      <c r="H13" s="401">
        <v>31</v>
      </c>
      <c r="I13" s="401">
        <v>0</v>
      </c>
      <c r="J13" s="206">
        <f t="shared" si="1"/>
        <v>74</v>
      </c>
      <c r="K13" s="9">
        <f t="shared" si="0"/>
        <v>10.48158640226629</v>
      </c>
      <c r="L13" s="440" t="s">
        <v>266</v>
      </c>
    </row>
    <row r="14" spans="1:12" ht="15.75" thickBot="1">
      <c r="A14" s="225" t="s">
        <v>307</v>
      </c>
      <c r="B14" s="418">
        <v>2</v>
      </c>
      <c r="C14" s="401">
        <v>0</v>
      </c>
      <c r="D14" s="401">
        <v>2</v>
      </c>
      <c r="E14" s="401">
        <v>8</v>
      </c>
      <c r="F14" s="401">
        <v>18</v>
      </c>
      <c r="G14" s="401">
        <v>0</v>
      </c>
      <c r="H14" s="401">
        <v>16</v>
      </c>
      <c r="I14" s="401">
        <v>0</v>
      </c>
      <c r="J14" s="206">
        <f t="shared" si="1"/>
        <v>46</v>
      </c>
      <c r="K14" s="12">
        <f t="shared" si="0"/>
        <v>6.5155807365439093</v>
      </c>
      <c r="L14" s="441" t="s">
        <v>265</v>
      </c>
    </row>
    <row r="15" spans="1:12" ht="15.75" thickBot="1">
      <c r="A15" s="223" t="s">
        <v>306</v>
      </c>
      <c r="B15" s="418">
        <v>3</v>
      </c>
      <c r="C15" s="401">
        <v>0</v>
      </c>
      <c r="D15" s="401">
        <v>8</v>
      </c>
      <c r="E15" s="401">
        <v>6</v>
      </c>
      <c r="F15" s="401">
        <v>9</v>
      </c>
      <c r="G15" s="401">
        <v>1</v>
      </c>
      <c r="H15" s="401">
        <v>14</v>
      </c>
      <c r="I15" s="401">
        <v>0</v>
      </c>
      <c r="J15" s="206">
        <f t="shared" si="1"/>
        <v>41</v>
      </c>
      <c r="K15" s="9">
        <f t="shared" si="0"/>
        <v>5.807365439093485</v>
      </c>
      <c r="L15" s="440" t="s">
        <v>264</v>
      </c>
    </row>
    <row r="16" spans="1:12" ht="15.75" thickBot="1">
      <c r="A16" s="225" t="s">
        <v>305</v>
      </c>
      <c r="B16" s="418">
        <v>5</v>
      </c>
      <c r="C16" s="401">
        <v>0</v>
      </c>
      <c r="D16" s="401">
        <v>1</v>
      </c>
      <c r="E16" s="401">
        <v>2</v>
      </c>
      <c r="F16" s="401">
        <v>7</v>
      </c>
      <c r="G16" s="401">
        <v>0</v>
      </c>
      <c r="H16" s="401">
        <v>7</v>
      </c>
      <c r="I16" s="401">
        <v>0</v>
      </c>
      <c r="J16" s="206">
        <f t="shared" si="1"/>
        <v>22</v>
      </c>
      <c r="K16" s="12">
        <f t="shared" si="0"/>
        <v>3.1161473087818701</v>
      </c>
      <c r="L16" s="441" t="s">
        <v>263</v>
      </c>
    </row>
    <row r="17" spans="1:12" ht="15.75" thickBot="1">
      <c r="A17" s="223" t="s">
        <v>304</v>
      </c>
      <c r="B17" s="418">
        <v>5</v>
      </c>
      <c r="C17" s="401">
        <v>1</v>
      </c>
      <c r="D17" s="401">
        <v>2</v>
      </c>
      <c r="E17" s="401">
        <v>3</v>
      </c>
      <c r="F17" s="401">
        <v>4</v>
      </c>
      <c r="G17" s="401">
        <v>0</v>
      </c>
      <c r="H17" s="401">
        <v>5</v>
      </c>
      <c r="I17" s="401">
        <v>0</v>
      </c>
      <c r="J17" s="206">
        <f t="shared" si="1"/>
        <v>20</v>
      </c>
      <c r="K17" s="9">
        <f t="shared" si="0"/>
        <v>2.8328611898017</v>
      </c>
      <c r="L17" s="440" t="s">
        <v>262</v>
      </c>
    </row>
    <row r="18" spans="1:12" ht="15.75" thickBot="1">
      <c r="A18" s="225" t="s">
        <v>18</v>
      </c>
      <c r="B18" s="418">
        <v>0</v>
      </c>
      <c r="C18" s="401">
        <v>3</v>
      </c>
      <c r="D18" s="401">
        <v>0</v>
      </c>
      <c r="E18" s="401">
        <v>0</v>
      </c>
      <c r="F18" s="401">
        <v>2</v>
      </c>
      <c r="G18" s="401">
        <v>0</v>
      </c>
      <c r="H18" s="401">
        <v>1</v>
      </c>
      <c r="I18" s="401">
        <v>0</v>
      </c>
      <c r="J18" s="206">
        <f t="shared" si="1"/>
        <v>6</v>
      </c>
      <c r="K18" s="12">
        <f t="shared" si="0"/>
        <v>0.84985835694050993</v>
      </c>
      <c r="L18" s="441" t="s">
        <v>323</v>
      </c>
    </row>
    <row r="19" spans="1:12" ht="15.75" thickBot="1">
      <c r="A19" s="439" t="s">
        <v>19</v>
      </c>
      <c r="B19" s="419">
        <v>0</v>
      </c>
      <c r="C19" s="402">
        <v>0</v>
      </c>
      <c r="D19" s="402">
        <v>0</v>
      </c>
      <c r="E19" s="402">
        <v>0</v>
      </c>
      <c r="F19" s="402">
        <v>0</v>
      </c>
      <c r="G19" s="402">
        <v>0</v>
      </c>
      <c r="H19" s="402">
        <v>0</v>
      </c>
      <c r="I19" s="402">
        <v>0</v>
      </c>
      <c r="J19" s="206">
        <f t="shared" si="1"/>
        <v>0</v>
      </c>
      <c r="K19" s="156">
        <f t="shared" si="0"/>
        <v>0</v>
      </c>
      <c r="L19" s="442" t="s">
        <v>20</v>
      </c>
    </row>
    <row r="20" spans="1:12" ht="21" customHeight="1">
      <c r="A20" s="443" t="s">
        <v>354</v>
      </c>
      <c r="B20" s="444">
        <f t="shared" ref="B20:K20" si="2">SUM(B7:B19)</f>
        <v>20</v>
      </c>
      <c r="C20" s="444">
        <f t="shared" si="2"/>
        <v>9</v>
      </c>
      <c r="D20" s="444">
        <f t="shared" si="2"/>
        <v>39</v>
      </c>
      <c r="E20" s="444">
        <f t="shared" si="2"/>
        <v>94</v>
      </c>
      <c r="F20" s="444">
        <f t="shared" si="2"/>
        <v>387</v>
      </c>
      <c r="G20" s="444">
        <f t="shared" si="2"/>
        <v>7</v>
      </c>
      <c r="H20" s="444">
        <f t="shared" si="2"/>
        <v>149</v>
      </c>
      <c r="I20" s="444">
        <f t="shared" si="2"/>
        <v>1</v>
      </c>
      <c r="J20" s="444">
        <f t="shared" si="2"/>
        <v>706</v>
      </c>
      <c r="K20" s="445">
        <f t="shared" si="2"/>
        <v>100.00000000000003</v>
      </c>
      <c r="L20" s="446" t="s">
        <v>22</v>
      </c>
    </row>
    <row r="21" spans="1:12" ht="21" customHeight="1">
      <c r="A21" s="447" t="s">
        <v>353</v>
      </c>
      <c r="B21" s="415">
        <f>B20/$J$20%</f>
        <v>2.8328611898017</v>
      </c>
      <c r="C21" s="415">
        <f>C20/$J$20%</f>
        <v>1.2747875354107649</v>
      </c>
      <c r="D21" s="415">
        <f t="shared" ref="D21:I21" si="3">D20/$J$20%</f>
        <v>5.5240793201133149</v>
      </c>
      <c r="E21" s="415">
        <f t="shared" si="3"/>
        <v>13.314447592067989</v>
      </c>
      <c r="F21" s="415">
        <f t="shared" si="3"/>
        <v>54.815864022662893</v>
      </c>
      <c r="G21" s="415">
        <f t="shared" si="3"/>
        <v>0.99150141643059497</v>
      </c>
      <c r="H21" s="415">
        <f t="shared" si="3"/>
        <v>21.104815864022665</v>
      </c>
      <c r="I21" s="415">
        <f t="shared" si="3"/>
        <v>0.14164305949008499</v>
      </c>
      <c r="J21" s="415">
        <f>SUM(B21:I21)</f>
        <v>100</v>
      </c>
      <c r="K21" s="448"/>
      <c r="L21" s="449" t="s">
        <v>352</v>
      </c>
    </row>
  </sheetData>
  <mergeCells count="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rabicTitle xmlns="b1657202-86a7-46c3-ba71-02bb0da5a392">النشرة السنوية للإحصاءات الحيوية (الزواج والطلاق) 2015</ArabicTitle>
    <PublishingRollupImage xmlns="http://schemas.microsoft.com/sharepoint/v3" xsi:nil="true"/>
    <DocumentDescription xmlns="b1657202-86a7-46c3-ba71-02bb0da5a392">النشرة السنوية للإحصاءات الحيوية (الزواج والطلاق) 2015</DocumentDescription>
    <Visible xmlns="b1657202-86a7-46c3-ba71-02bb0da5a392">true</Visible>
    <EnglishTitle xmlns="b1657202-86a7-46c3-ba71-02bb0da5a392">Vital Statistics Annual Bulletin (Marriage and Divorce) 2015</EnglishTitle>
    <Year xmlns="b1657202-86a7-46c3-ba71-02bb0da5a392">2015</Year>
    <DocType xmlns="b1657202-86a7-46c3-ba71-02bb0da5a392">
      <Value>Report</Value>
      <Value>Publication</Value>
    </DocType>
    <PublishingStartDate xmlns="http://schemas.microsoft.com/sharepoint/v3" xsi:nil="true"/>
    <TaxCatchAll xmlns="b1657202-86a7-46c3-ba71-02bb0da5a392"/>
    <MDPSLanguage xmlns="b1657202-86a7-46c3-ba71-02bb0da5a392">Both</MDPSLanguage>
    <TaxKeywordTaxHTField xmlns="b1657202-86a7-46c3-ba71-02bb0da5a392">
      <Terms xmlns="http://schemas.microsoft.com/office/infopath/2007/PartnerControls"/>
    </TaxKeywordTaxHTField>
    <DocumentDescription0 xmlns="423524d6-f9d7-4b47-aadf-7b8f6888b7b0">Vital Statistics Annual Bulletin (Marriage and Divorce) 2015</DocumentDescription0>
    <DocPeriodicity xmlns="423524d6-f9d7-4b47-aadf-7b8f6888b7b0">Annual</DocPeriodicity>
  </documentManagement>
</p:properties>
</file>

<file path=customXml/item3.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58F554-EF08-4A52-89A4-F3EBD7BD4AC9}"/>
</file>

<file path=customXml/itemProps2.xml><?xml version="1.0" encoding="utf-8"?>
<ds:datastoreItem xmlns:ds="http://schemas.openxmlformats.org/officeDocument/2006/customXml" ds:itemID="{757EAC86-8184-4A1C-A6AC-5E9ACFAA8E9B}"/>
</file>

<file path=customXml/itemProps3.xml><?xml version="1.0" encoding="utf-8"?>
<ds:datastoreItem xmlns:ds="http://schemas.openxmlformats.org/officeDocument/2006/customXml" ds:itemID="{12AAB230-5DCB-4DF9-9CE4-D8D789D404A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128</vt:i4>
      </vt:variant>
      <vt:variant>
        <vt:lpstr>Named Ranges</vt:lpstr>
      </vt:variant>
      <vt:variant>
        <vt:i4>120</vt:i4>
      </vt:variant>
    </vt:vector>
  </HeadingPairs>
  <TitlesOfParts>
    <vt:vector size="248" baseType="lpstr">
      <vt:lpstr>Sheet1</vt:lpstr>
      <vt:lpstr>Intr.</vt:lpstr>
      <vt:lpstr>Cont.</vt:lpstr>
      <vt:lpstr>ConT.GR</vt:lpstr>
      <vt:lpstr>-</vt:lpstr>
      <vt:lpstr>Pref.</vt:lpstr>
      <vt:lpstr>Def.</vt:lpstr>
      <vt:lpstr>المؤشرات</vt:lpstr>
      <vt:lpstr>FIRST</vt:lpstr>
      <vt:lpstr>1</vt:lpstr>
      <vt:lpstr>GR-1</vt:lpstr>
      <vt:lpstr>2</vt:lpstr>
      <vt:lpstr>3</vt:lpstr>
      <vt:lpstr>GR-2</vt:lpstr>
      <vt:lpstr>4</vt:lpstr>
      <vt:lpstr>GR-3</vt:lpstr>
      <vt:lpstr>5</vt:lpstr>
      <vt:lpstr>GR-4</vt:lpstr>
      <vt:lpstr>6-1</vt:lpstr>
      <vt:lpstr>6-2</vt:lpstr>
      <vt:lpstr>GR-5</vt:lpstr>
      <vt:lpstr>7</vt:lpstr>
      <vt:lpstr>8</vt:lpstr>
      <vt:lpstr>GR-6</vt:lpstr>
      <vt:lpstr>9</vt:lpstr>
      <vt:lpstr>10</vt:lpstr>
      <vt:lpstr>11-1</vt:lpstr>
      <vt:lpstr>11-2</vt:lpstr>
      <vt:lpstr>11-3</vt:lpstr>
      <vt:lpstr>12-1</vt:lpstr>
      <vt:lpstr>12-2</vt:lpstr>
      <vt:lpstr>12-3</vt:lpstr>
      <vt:lpstr>13-1</vt:lpstr>
      <vt:lpstr>13-2</vt:lpstr>
      <vt:lpstr>13-3</vt:lpstr>
      <vt:lpstr>14-1</vt:lpstr>
      <vt:lpstr>14-2</vt:lpstr>
      <vt:lpstr>14-3</vt:lpstr>
      <vt:lpstr>15-1</vt:lpstr>
      <vt:lpstr>15-2</vt:lpstr>
      <vt:lpstr>15-3</vt:lpstr>
      <vt:lpstr>16-1</vt:lpstr>
      <vt:lpstr>16-2</vt:lpstr>
      <vt:lpstr>16-3</vt:lpstr>
      <vt:lpstr>GR-7</vt:lpstr>
      <vt:lpstr>17-1</vt:lpstr>
      <vt:lpstr>17-2</vt:lpstr>
      <vt:lpstr>17-3</vt:lpstr>
      <vt:lpstr>GR-8 </vt:lpstr>
      <vt:lpstr>18-1</vt:lpstr>
      <vt:lpstr>18-2</vt:lpstr>
      <vt:lpstr>18-3</vt:lpstr>
      <vt:lpstr>19</vt:lpstr>
      <vt:lpstr>20</vt:lpstr>
      <vt:lpstr>GR9</vt:lpstr>
      <vt:lpstr>SECOND</vt:lpstr>
      <vt:lpstr>21</vt:lpstr>
      <vt:lpstr>GR-10</vt:lpstr>
      <vt:lpstr>22-1</vt:lpstr>
      <vt:lpstr>22-2</vt:lpstr>
      <vt:lpstr>GR11</vt:lpstr>
      <vt:lpstr>23</vt:lpstr>
      <vt:lpstr>GR12</vt:lpstr>
      <vt:lpstr>24</vt:lpstr>
      <vt:lpstr>GR13</vt:lpstr>
      <vt:lpstr>GR14</vt:lpstr>
      <vt:lpstr>25-1</vt:lpstr>
      <vt:lpstr>25-2</vt:lpstr>
      <vt:lpstr>25-3</vt:lpstr>
      <vt:lpstr>26-1</vt:lpstr>
      <vt:lpstr>26-2</vt:lpstr>
      <vt:lpstr>26-3</vt:lpstr>
      <vt:lpstr>27</vt:lpstr>
      <vt:lpstr>28.1</vt:lpstr>
      <vt:lpstr>28.2</vt:lpstr>
      <vt:lpstr>28.3</vt:lpstr>
      <vt:lpstr>29</vt:lpstr>
      <vt:lpstr>30.1</vt:lpstr>
      <vt:lpstr>30.2</vt:lpstr>
      <vt:lpstr>30.3</vt:lpstr>
      <vt:lpstr>31.1</vt:lpstr>
      <vt:lpstr>31.2</vt:lpstr>
      <vt:lpstr>31.3</vt:lpstr>
      <vt:lpstr>32.1</vt:lpstr>
      <vt:lpstr>32.2</vt:lpstr>
      <vt:lpstr>32.3</vt:lpstr>
      <vt:lpstr>33.1</vt:lpstr>
      <vt:lpstr>33.2</vt:lpstr>
      <vt:lpstr>33.3</vt:lpstr>
      <vt:lpstr>34</vt:lpstr>
      <vt:lpstr>35</vt:lpstr>
      <vt:lpstr>36</vt:lpstr>
      <vt:lpstr>GR15</vt:lpstr>
      <vt:lpstr>37</vt:lpstr>
      <vt:lpstr>38.1</vt:lpstr>
      <vt:lpstr>38.2</vt:lpstr>
      <vt:lpstr>38.3</vt:lpstr>
      <vt:lpstr>GR16</vt:lpstr>
      <vt:lpstr>39.1</vt:lpstr>
      <vt:lpstr>39.2</vt:lpstr>
      <vt:lpstr>39.3</vt:lpstr>
      <vt:lpstr>40.1</vt:lpstr>
      <vt:lpstr>40.2</vt:lpstr>
      <vt:lpstr>40.3</vt:lpstr>
      <vt:lpstr>GR17</vt:lpstr>
      <vt:lpstr>41.1</vt:lpstr>
      <vt:lpstr>GR18</vt:lpstr>
      <vt:lpstr>41.2</vt:lpstr>
      <vt:lpstr>GR19</vt:lpstr>
      <vt:lpstr>41.3</vt:lpstr>
      <vt:lpstr>GR20</vt:lpstr>
      <vt:lpstr>42-1</vt:lpstr>
      <vt:lpstr>GR21</vt:lpstr>
      <vt:lpstr>42-2</vt:lpstr>
      <vt:lpstr>GR22</vt:lpstr>
      <vt:lpstr>42-3</vt:lpstr>
      <vt:lpstr>GR23</vt:lpstr>
      <vt:lpstr>43-1</vt:lpstr>
      <vt:lpstr>43-2</vt:lpstr>
      <vt:lpstr>43-3</vt:lpstr>
      <vt:lpstr>44</vt:lpstr>
      <vt:lpstr>GR24</vt:lpstr>
      <vt:lpstr>45</vt:lpstr>
      <vt:lpstr>46</vt:lpstr>
      <vt:lpstr>47</vt:lpstr>
      <vt:lpstr>الملاحق</vt:lpstr>
      <vt:lpstr>الزواج Marriage</vt:lpstr>
      <vt:lpstr>الطلاق Divorces</vt:lpstr>
      <vt:lpstr>'-'!Print_Area</vt:lpstr>
      <vt:lpstr>'1'!Print_Area</vt:lpstr>
      <vt:lpstr>'10'!Print_Area</vt:lpstr>
      <vt:lpstr>'11-1'!Print_Area</vt:lpstr>
      <vt:lpstr>'11-2'!Print_Area</vt:lpstr>
      <vt:lpstr>'11-3'!Print_Area</vt:lpstr>
      <vt:lpstr>'12-1'!Print_Area</vt:lpstr>
      <vt:lpstr>'12-2'!Print_Area</vt:lpstr>
      <vt:lpstr>'12-3'!Print_Area</vt:lpstr>
      <vt:lpstr>'13-1'!Print_Area</vt:lpstr>
      <vt:lpstr>'13-2'!Print_Area</vt:lpstr>
      <vt:lpstr>'13-3'!Print_Area</vt:lpstr>
      <vt:lpstr>'14-1'!Print_Area</vt:lpstr>
      <vt:lpstr>'14-2'!Print_Area</vt:lpstr>
      <vt:lpstr>'14-3'!Print_Area</vt:lpstr>
      <vt:lpstr>'15-1'!Print_Area</vt:lpstr>
      <vt:lpstr>'15-2'!Print_Area</vt:lpstr>
      <vt:lpstr>'15-3'!Print_Area</vt:lpstr>
      <vt:lpstr>'16-1'!Print_Area</vt:lpstr>
      <vt:lpstr>'16-2'!Print_Area</vt:lpstr>
      <vt:lpstr>'16-3'!Print_Area</vt:lpstr>
      <vt:lpstr>'17-1'!Print_Area</vt:lpstr>
      <vt:lpstr>'17-2'!Print_Area</vt:lpstr>
      <vt:lpstr>'17-3'!Print_Area</vt:lpstr>
      <vt:lpstr>'18-1'!Print_Area</vt:lpstr>
      <vt:lpstr>'18-2'!Print_Area</vt:lpstr>
      <vt:lpstr>'18-3'!Print_Area</vt:lpstr>
      <vt:lpstr>'19'!Print_Area</vt:lpstr>
      <vt:lpstr>'2'!Print_Area</vt:lpstr>
      <vt:lpstr>'20'!Print_Area</vt:lpstr>
      <vt:lpstr>'22-1'!Print_Area</vt:lpstr>
      <vt:lpstr>'23'!Print_Area</vt:lpstr>
      <vt:lpstr>'24'!Print_Area</vt:lpstr>
      <vt:lpstr>'25-1'!Print_Area</vt:lpstr>
      <vt:lpstr>'25-2'!Print_Area</vt:lpstr>
      <vt:lpstr>'25-3'!Print_Area</vt:lpstr>
      <vt:lpstr>'26-1'!Print_Area</vt:lpstr>
      <vt:lpstr>'26-2'!Print_Area</vt:lpstr>
      <vt:lpstr>'26-3'!Print_Area</vt:lpstr>
      <vt:lpstr>'27'!Print_Area</vt:lpstr>
      <vt:lpstr>'28.1'!Print_Area</vt:lpstr>
      <vt:lpstr>'28.2'!Print_Area</vt:lpstr>
      <vt:lpstr>'28.3'!Print_Area</vt:lpstr>
      <vt:lpstr>'29'!Print_Area</vt:lpstr>
      <vt:lpstr>'30.1'!Print_Area</vt:lpstr>
      <vt:lpstr>'30.2'!Print_Area</vt:lpstr>
      <vt:lpstr>'30.3'!Print_Area</vt:lpstr>
      <vt:lpstr>'31.1'!Print_Area</vt:lpstr>
      <vt:lpstr>'31.2'!Print_Area</vt:lpstr>
      <vt:lpstr>'31.3'!Print_Area</vt:lpstr>
      <vt:lpstr>'32.1'!Print_Area</vt:lpstr>
      <vt:lpstr>'32.2'!Print_Area</vt:lpstr>
      <vt:lpstr>'32.3'!Print_Area</vt:lpstr>
      <vt:lpstr>'33.1'!Print_Area</vt:lpstr>
      <vt:lpstr>'33.2'!Print_Area</vt:lpstr>
      <vt:lpstr>'33.3'!Print_Area</vt:lpstr>
      <vt:lpstr>'34'!Print_Area</vt:lpstr>
      <vt:lpstr>'35'!Print_Area</vt:lpstr>
      <vt:lpstr>'36'!Print_Area</vt:lpstr>
      <vt:lpstr>'37'!Print_Area</vt:lpstr>
      <vt:lpstr>'38.1'!Print_Area</vt:lpstr>
      <vt:lpstr>'38.2'!Print_Area</vt:lpstr>
      <vt:lpstr>'38.3'!Print_Area</vt:lpstr>
      <vt:lpstr>'39.1'!Print_Area</vt:lpstr>
      <vt:lpstr>'39.2'!Print_Area</vt:lpstr>
      <vt:lpstr>'39.3'!Print_Area</vt:lpstr>
      <vt:lpstr>'4'!Print_Area</vt:lpstr>
      <vt:lpstr>'40.1'!Print_Area</vt:lpstr>
      <vt:lpstr>'40.2'!Print_Area</vt:lpstr>
      <vt:lpstr>'40.3'!Print_Area</vt:lpstr>
      <vt:lpstr>'41.1'!Print_Area</vt:lpstr>
      <vt:lpstr>'41.2'!Print_Area</vt:lpstr>
      <vt:lpstr>'41.3'!Print_Area</vt:lpstr>
      <vt:lpstr>'42-1'!Print_Area</vt:lpstr>
      <vt:lpstr>'42-2'!Print_Area</vt:lpstr>
      <vt:lpstr>'42-3'!Print_Area</vt:lpstr>
      <vt:lpstr>'43-1'!Print_Area</vt:lpstr>
      <vt:lpstr>'43-2'!Print_Area</vt:lpstr>
      <vt:lpstr>'43-3'!Print_Area</vt:lpstr>
      <vt:lpstr>'44'!Print_Area</vt:lpstr>
      <vt:lpstr>'45'!Print_Area</vt:lpstr>
      <vt:lpstr>'46'!Print_Area</vt:lpstr>
      <vt:lpstr>'47'!Print_Area</vt:lpstr>
      <vt:lpstr>'6-1'!Print_Area</vt:lpstr>
      <vt:lpstr>'6-2'!Print_Area</vt:lpstr>
      <vt:lpstr>'7'!Print_Area</vt:lpstr>
      <vt:lpstr>'8'!Print_Area</vt:lpstr>
      <vt:lpstr>'9'!Print_Area</vt:lpstr>
      <vt:lpstr>Cont.!Print_Area</vt:lpstr>
      <vt:lpstr>ConT.GR!Print_Area</vt:lpstr>
      <vt:lpstr>Def.!Print_Area</vt:lpstr>
      <vt:lpstr>'GR-1'!Print_Area</vt:lpstr>
      <vt:lpstr>'GR-10'!Print_Area</vt:lpstr>
      <vt:lpstr>'GR11'!Print_Area</vt:lpstr>
      <vt:lpstr>'GR12'!Print_Area</vt:lpstr>
      <vt:lpstr>'GR13'!Print_Area</vt:lpstr>
      <vt:lpstr>'GR14'!Print_Area</vt:lpstr>
      <vt:lpstr>'GR15'!Print_Area</vt:lpstr>
      <vt:lpstr>'GR16'!Print_Area</vt:lpstr>
      <vt:lpstr>'GR17'!Print_Area</vt:lpstr>
      <vt:lpstr>'GR18'!Print_Area</vt:lpstr>
      <vt:lpstr>'GR19'!Print_Area</vt:lpstr>
      <vt:lpstr>'GR-2'!Print_Area</vt:lpstr>
      <vt:lpstr>'GR20'!Print_Area</vt:lpstr>
      <vt:lpstr>'GR21'!Print_Area</vt:lpstr>
      <vt:lpstr>'GR22'!Print_Area</vt:lpstr>
      <vt:lpstr>'GR23'!Print_Area</vt:lpstr>
      <vt:lpstr>'GR24'!Print_Area</vt:lpstr>
      <vt:lpstr>'GR-3'!Print_Area</vt:lpstr>
      <vt:lpstr>'GR-4'!Print_Area</vt:lpstr>
      <vt:lpstr>'GR-5'!Print_Area</vt:lpstr>
      <vt:lpstr>'GR-6'!Print_Area</vt:lpstr>
      <vt:lpstr>'GR-7'!Print_Area</vt:lpstr>
      <vt:lpstr>'GR-8 '!Print_Area</vt:lpstr>
      <vt:lpstr>'GR9'!Print_Area</vt:lpstr>
      <vt:lpstr>'الزواج Marriage'!Print_Area</vt:lpstr>
      <vt:lpstr>'الطلاق Divorces'!Print_Area</vt:lpstr>
      <vt:lpstr>المؤشرات!Print_Area</vt:lpstr>
      <vt:lpstr>Cont.!Print_Titles</vt:lpstr>
      <vt:lpstr>ConT.GR!Print_Titles</vt:lpstr>
    </vt:vector>
  </TitlesOfParts>
  <Company>QSA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Vital Statistics Annual Bulletin (Marriage and Divorce) 2015</dc:title>
  <dc:creator>Amjad Ahmed Abdelwahab</dc:creator>
  <cp:lastModifiedBy>Amjad Ahmed Abdelwahab</cp:lastModifiedBy>
  <cp:lastPrinted>2016-06-01T06:15:18Z</cp:lastPrinted>
  <dcterms:created xsi:type="dcterms:W3CDTF">2012-07-10T06:20:22Z</dcterms:created>
  <dcterms:modified xsi:type="dcterms:W3CDTF">2016-07-28T06:35:23Z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DisplayOnHP">
    <vt:bool>true</vt:bool>
  </property>
  <property fmtid="{D5CDD505-2E9C-101B-9397-08002B2CF9AE}" pid="4" name="ContentTypeId">
    <vt:lpwstr>0x0101005B6F1207514BA84095F136A74049D6F500F1F1E948EAA66A42B0F3AAD71C9FA928</vt:lpwstr>
  </property>
  <property fmtid="{D5CDD505-2E9C-101B-9397-08002B2CF9AE}" pid="5" name="CategoryDescription">
    <vt:lpwstr>Vital Statistics Annual Bulletin (Marriage and Divorce) 2015</vt:lpwstr>
  </property>
</Properties>
</file>